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yuhao1\Desktop\Student Report\2024\enrollment\"/>
    </mc:Choice>
  </mc:AlternateContent>
  <xr:revisionPtr revIDLastSave="0" documentId="13_ncr:1_{1137A3B9-443C-4889-8334-0F17BD8A0627}" xr6:coauthVersionLast="47" xr6:coauthVersionMax="47" xr10:uidLastSave="{00000000-0000-0000-0000-000000000000}"/>
  <bookViews>
    <workbookView xWindow="28680" yWindow="-120" windowWidth="29040" windowHeight="15840" tabRatio="943" activeTab="1" xr2:uid="{00000000-000D-0000-FFFF-FFFF00000000}"/>
  </bookViews>
  <sheets>
    <sheet name="enrollcoll" sheetId="11" r:id="rId1"/>
    <sheet name="ughcgraph" sheetId="1" r:id="rId2"/>
    <sheet name="Demo_data" sheetId="2" r:id="rId3"/>
  </sheets>
  <definedNames>
    <definedName name="_xlnm.Print_Area" localSheetId="2">Demo_data!$A$1:$AF$126</definedName>
    <definedName name="_xlnm.Print_Area" localSheetId="1">ughcgraph!$A$1:$I$53</definedName>
    <definedName name="_xlnm.Print_Titles" localSheetId="2">Demo_data!$2:$4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66" i="11" l="1"/>
  <c r="AE65" i="11"/>
  <c r="AE64" i="11"/>
  <c r="AE63" i="11"/>
  <c r="AE60" i="11"/>
  <c r="AE62" i="11"/>
  <c r="AE55" i="11"/>
  <c r="AE48" i="11"/>
  <c r="AE44" i="11"/>
  <c r="AE39" i="11"/>
  <c r="AE28" i="11"/>
  <c r="AE33" i="11"/>
  <c r="AE23" i="11"/>
  <c r="AE19" i="11"/>
  <c r="AE14" i="11"/>
  <c r="AE9" i="11"/>
  <c r="AF72" i="2"/>
  <c r="AF74" i="2"/>
  <c r="AF87" i="2"/>
  <c r="AF86" i="2"/>
  <c r="AF85" i="2"/>
  <c r="AF84" i="2"/>
  <c r="AF83" i="2"/>
  <c r="AF82" i="2"/>
  <c r="AF80" i="2"/>
  <c r="AF79" i="2"/>
  <c r="AF78" i="2"/>
  <c r="AF77" i="2"/>
  <c r="AF76" i="2"/>
  <c r="AF75" i="2"/>
  <c r="AF73" i="2"/>
  <c r="AF71" i="2"/>
  <c r="AF70" i="2"/>
  <c r="AF69" i="2"/>
  <c r="AF68" i="2"/>
  <c r="AF47" i="2"/>
  <c r="AF67" i="2" s="1"/>
  <c r="AF26" i="2"/>
  <c r="AF5" i="2"/>
  <c r="Y65" i="11" l="1"/>
  <c r="X65" i="11"/>
  <c r="W65" i="11"/>
  <c r="S65" i="11"/>
  <c r="R65" i="11"/>
  <c r="Q65" i="11"/>
  <c r="N65" i="11"/>
  <c r="M65" i="11"/>
  <c r="L65" i="11"/>
  <c r="J65" i="11"/>
  <c r="I65" i="11"/>
  <c r="H65" i="11"/>
  <c r="G65" i="11"/>
  <c r="F65" i="11"/>
  <c r="E65" i="11"/>
  <c r="D65" i="11"/>
  <c r="C65" i="11"/>
  <c r="B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Z63" i="11"/>
  <c r="Y63" i="11"/>
  <c r="X63" i="11"/>
  <c r="W63" i="11"/>
  <c r="U63" i="11"/>
  <c r="S63" i="11"/>
  <c r="R63" i="11"/>
  <c r="Q63" i="11"/>
  <c r="P63" i="11"/>
  <c r="N63" i="11"/>
  <c r="M63" i="11"/>
  <c r="L63" i="11"/>
  <c r="J63" i="11"/>
  <c r="I63" i="11"/>
  <c r="H63" i="11"/>
  <c r="G63" i="11"/>
  <c r="F63" i="11"/>
  <c r="E63" i="11"/>
  <c r="D63" i="11"/>
  <c r="C63" i="11"/>
  <c r="B63" i="11"/>
  <c r="Z62" i="11"/>
  <c r="Y62" i="11"/>
  <c r="X62" i="11"/>
  <c r="W62" i="11"/>
  <c r="V62" i="11"/>
  <c r="U62" i="11"/>
  <c r="S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Z55" i="11"/>
  <c r="Y55" i="11"/>
  <c r="X55" i="11"/>
  <c r="W55" i="11"/>
  <c r="V55" i="11"/>
  <c r="U55" i="11"/>
  <c r="S55" i="11"/>
  <c r="R55" i="11"/>
  <c r="Q55" i="11"/>
  <c r="N55" i="11"/>
  <c r="M55" i="11"/>
  <c r="L55" i="11"/>
  <c r="J55" i="11"/>
  <c r="I55" i="11"/>
  <c r="H55" i="11"/>
  <c r="G55" i="11"/>
  <c r="F55" i="11"/>
  <c r="E55" i="11"/>
  <c r="D55" i="11"/>
  <c r="C55" i="11"/>
  <c r="B55" i="11"/>
  <c r="T54" i="11"/>
  <c r="T55" i="11" s="1"/>
  <c r="P54" i="11"/>
  <c r="P65" i="11" s="1"/>
  <c r="O54" i="11"/>
  <c r="K54" i="11"/>
  <c r="O53" i="11"/>
  <c r="K53" i="11"/>
  <c r="T46" i="11"/>
  <c r="T62" i="11" s="1"/>
  <c r="Z44" i="11"/>
  <c r="Y44" i="11"/>
  <c r="X44" i="11"/>
  <c r="W44" i="11"/>
  <c r="U44" i="11"/>
  <c r="S44" i="11"/>
  <c r="R44" i="11"/>
  <c r="Q44" i="11"/>
  <c r="P44" i="11"/>
  <c r="N44" i="11"/>
  <c r="M44" i="11"/>
  <c r="L44" i="11"/>
  <c r="J44" i="11"/>
  <c r="I44" i="11"/>
  <c r="H44" i="11"/>
  <c r="G44" i="11"/>
  <c r="F44" i="11"/>
  <c r="E44" i="11"/>
  <c r="D44" i="11"/>
  <c r="C44" i="11"/>
  <c r="B44" i="11"/>
  <c r="O43" i="11"/>
  <c r="K43" i="11"/>
  <c r="V42" i="11"/>
  <c r="V44" i="11" s="1"/>
  <c r="T42" i="11"/>
  <c r="T63" i="11" s="1"/>
  <c r="O42" i="11"/>
  <c r="Z39" i="11"/>
  <c r="Y39" i="11"/>
  <c r="X39" i="11"/>
  <c r="W39" i="11"/>
  <c r="U39" i="11"/>
  <c r="S39" i="11"/>
  <c r="R39" i="11"/>
  <c r="Q39" i="11"/>
  <c r="P39" i="11"/>
  <c r="N39" i="11"/>
  <c r="M39" i="11"/>
  <c r="L39" i="11"/>
  <c r="J39" i="11"/>
  <c r="I39" i="11"/>
  <c r="H39" i="11"/>
  <c r="G39" i="11"/>
  <c r="F39" i="11"/>
  <c r="E39" i="11"/>
  <c r="D39" i="11"/>
  <c r="C39" i="11"/>
  <c r="B39" i="11"/>
  <c r="O38" i="11"/>
  <c r="K38" i="11"/>
  <c r="K39" i="11" s="1"/>
  <c r="V37" i="11"/>
  <c r="V39" i="11" s="1"/>
  <c r="T37" i="11"/>
  <c r="T39" i="11" s="1"/>
  <c r="O37" i="11"/>
  <c r="Z33" i="11"/>
  <c r="Y33" i="11"/>
  <c r="X33" i="11"/>
  <c r="W33" i="11"/>
  <c r="U33" i="11"/>
  <c r="T33" i="11"/>
  <c r="S33" i="11"/>
  <c r="R33" i="11"/>
  <c r="Q33" i="11"/>
  <c r="P33" i="11"/>
  <c r="N33" i="11"/>
  <c r="M33" i="11"/>
  <c r="L33" i="11"/>
  <c r="J33" i="11"/>
  <c r="I33" i="11"/>
  <c r="H33" i="11"/>
  <c r="G33" i="11"/>
  <c r="F33" i="11"/>
  <c r="E33" i="11"/>
  <c r="D33" i="11"/>
  <c r="C33" i="11"/>
  <c r="B33" i="11"/>
  <c r="O32" i="11"/>
  <c r="K32" i="11"/>
  <c r="V31" i="11"/>
  <c r="V33" i="11" s="1"/>
  <c r="O31" i="11"/>
  <c r="K31" i="11"/>
  <c r="Y28" i="11"/>
  <c r="X28" i="11"/>
  <c r="W28" i="11"/>
  <c r="V28" i="11"/>
  <c r="T28" i="11"/>
  <c r="S28" i="11"/>
  <c r="R28" i="11"/>
  <c r="Q28" i="11"/>
  <c r="P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Z27" i="11"/>
  <c r="Z65" i="11" s="1"/>
  <c r="U27" i="11"/>
  <c r="U28" i="11" s="1"/>
  <c r="O27" i="11"/>
  <c r="O26" i="11"/>
  <c r="Z23" i="11"/>
  <c r="Y23" i="11"/>
  <c r="X23" i="11"/>
  <c r="W23" i="11"/>
  <c r="V23" i="11"/>
  <c r="U23" i="11"/>
  <c r="T23" i="11"/>
  <c r="S23" i="11"/>
  <c r="Q23" i="11"/>
  <c r="P23" i="11"/>
  <c r="N23" i="11"/>
  <c r="M23" i="11"/>
  <c r="L23" i="11"/>
  <c r="J23" i="11"/>
  <c r="I23" i="11"/>
  <c r="H23" i="11"/>
  <c r="G23" i="11"/>
  <c r="F23" i="11"/>
  <c r="E23" i="11"/>
  <c r="D23" i="11"/>
  <c r="C23" i="11"/>
  <c r="B23" i="11"/>
  <c r="O22" i="11"/>
  <c r="O23" i="11" s="1"/>
  <c r="K22" i="11"/>
  <c r="K23" i="11" s="1"/>
  <c r="R21" i="11"/>
  <c r="R23" i="11" s="1"/>
  <c r="Z19" i="11"/>
  <c r="Y19" i="11"/>
  <c r="X19" i="11"/>
  <c r="W19" i="11"/>
  <c r="T19" i="11"/>
  <c r="S19" i="11"/>
  <c r="R19" i="11"/>
  <c r="Q19" i="11"/>
  <c r="P19" i="11"/>
  <c r="N19" i="11"/>
  <c r="M19" i="11"/>
  <c r="L19" i="11"/>
  <c r="J19" i="11"/>
  <c r="I19" i="11"/>
  <c r="H19" i="11"/>
  <c r="G19" i="11"/>
  <c r="F19" i="11"/>
  <c r="E19" i="11"/>
  <c r="D19" i="11"/>
  <c r="C19" i="11"/>
  <c r="B19" i="11"/>
  <c r="V18" i="11"/>
  <c r="V19" i="11" s="1"/>
  <c r="U18" i="11"/>
  <c r="U19" i="11" s="1"/>
  <c r="O17" i="11"/>
  <c r="O19" i="11" s="1"/>
  <c r="K17" i="11"/>
  <c r="K19" i="11" s="1"/>
  <c r="Z14" i="11"/>
  <c r="Y14" i="11"/>
  <c r="X14" i="11"/>
  <c r="W14" i="11"/>
  <c r="V14" i="11"/>
  <c r="U14" i="11"/>
  <c r="T14" i="11"/>
  <c r="S14" i="11"/>
  <c r="R14" i="11"/>
  <c r="Q14" i="11"/>
  <c r="P14" i="11"/>
  <c r="N14" i="11"/>
  <c r="M14" i="11"/>
  <c r="L14" i="11"/>
  <c r="J14" i="11"/>
  <c r="I14" i="11"/>
  <c r="H14" i="11"/>
  <c r="G14" i="11"/>
  <c r="F14" i="11"/>
  <c r="E14" i="11"/>
  <c r="D14" i="11"/>
  <c r="C14" i="11"/>
  <c r="B14" i="11"/>
  <c r="O12" i="11"/>
  <c r="O14" i="11" s="1"/>
  <c r="K12" i="11"/>
  <c r="K14" i="11" s="1"/>
  <c r="Z9" i="11"/>
  <c r="Y9" i="11"/>
  <c r="X9" i="11"/>
  <c r="W9" i="11"/>
  <c r="T9" i="11"/>
  <c r="S9" i="11"/>
  <c r="R9" i="11"/>
  <c r="Q9" i="11"/>
  <c r="P9" i="11"/>
  <c r="N9" i="11"/>
  <c r="M9" i="11"/>
  <c r="L9" i="11"/>
  <c r="J9" i="11"/>
  <c r="I9" i="11"/>
  <c r="H9" i="11"/>
  <c r="G9" i="11"/>
  <c r="F9" i="11"/>
  <c r="E9" i="11"/>
  <c r="D9" i="11"/>
  <c r="C9" i="11"/>
  <c r="B9" i="11"/>
  <c r="V8" i="11"/>
  <c r="V9" i="11" s="1"/>
  <c r="U8" i="11"/>
  <c r="U9" i="11" s="1"/>
  <c r="O7" i="11"/>
  <c r="O9" i="11" s="1"/>
  <c r="K7" i="11"/>
  <c r="O55" i="11" l="1"/>
  <c r="K55" i="11"/>
  <c r="I66" i="11"/>
  <c r="Q66" i="11"/>
  <c r="K33" i="11"/>
  <c r="O33" i="11"/>
  <c r="O28" i="11"/>
  <c r="K65" i="11"/>
  <c r="W66" i="11"/>
  <c r="T44" i="11"/>
  <c r="H66" i="11"/>
  <c r="D66" i="11"/>
  <c r="B66" i="11"/>
  <c r="J66" i="11"/>
  <c r="S66" i="11"/>
  <c r="C66" i="11"/>
  <c r="K63" i="11"/>
  <c r="O39" i="11"/>
  <c r="O63" i="11"/>
  <c r="V63" i="11"/>
  <c r="E66" i="11"/>
  <c r="M66" i="11"/>
  <c r="T65" i="11"/>
  <c r="T66" i="11" s="1"/>
  <c r="O44" i="11"/>
  <c r="F66" i="11"/>
  <c r="N66" i="11"/>
  <c r="X66" i="11"/>
  <c r="V65" i="11"/>
  <c r="O65" i="11"/>
  <c r="G66" i="11"/>
  <c r="Y66" i="11"/>
  <c r="L66" i="11"/>
  <c r="P66" i="11"/>
  <c r="Z66" i="11"/>
  <c r="K9" i="11"/>
  <c r="P55" i="11"/>
  <c r="R62" i="11"/>
  <c r="R66" i="11" s="1"/>
  <c r="K44" i="11"/>
  <c r="Z28" i="11"/>
  <c r="U65" i="11"/>
  <c r="U66" i="11" s="1"/>
  <c r="O66" i="11" l="1"/>
  <c r="K66" i="11"/>
  <c r="V66" i="11"/>
  <c r="AF81" i="2" l="1"/>
  <c r="AH25" i="2" l="1"/>
  <c r="AA5" i="2" l="1"/>
  <c r="AA26" i="2"/>
  <c r="AA47" i="2"/>
  <c r="AA68" i="2"/>
  <c r="AA69" i="2"/>
  <c r="AA70" i="2"/>
  <c r="AA71" i="2"/>
  <c r="AA72" i="2"/>
  <c r="AA73" i="2"/>
  <c r="AA75" i="2"/>
  <c r="AA76" i="2"/>
  <c r="AA77" i="2"/>
  <c r="AA78" i="2"/>
  <c r="AA79" i="2"/>
  <c r="AA82" i="2"/>
  <c r="AA80" i="2"/>
  <c r="AA81" i="2"/>
  <c r="AA83" i="2"/>
  <c r="AA84" i="2"/>
  <c r="AA85" i="2"/>
  <c r="AA86" i="2"/>
  <c r="AA87" i="2"/>
  <c r="AH67" i="2" l="1"/>
  <c r="AA67" i="2"/>
  <c r="Z5" i="2" l="1"/>
  <c r="Z26" i="2"/>
  <c r="Z47" i="2"/>
  <c r="Z68" i="2"/>
  <c r="Z69" i="2"/>
  <c r="Z70" i="2"/>
  <c r="Z71" i="2"/>
  <c r="Z72" i="2"/>
  <c r="Z73" i="2"/>
  <c r="Z75" i="2"/>
  <c r="Z76" i="2"/>
  <c r="Z77" i="2"/>
  <c r="Z78" i="2"/>
  <c r="Z79" i="2"/>
  <c r="Z82" i="2"/>
  <c r="Z80" i="2"/>
  <c r="Z81" i="2"/>
  <c r="Z83" i="2"/>
  <c r="Z84" i="2"/>
  <c r="Z85" i="2"/>
  <c r="Z86" i="2"/>
  <c r="Z87" i="2"/>
  <c r="Z67" i="2" l="1"/>
  <c r="Y5" i="2" l="1"/>
  <c r="Y87" i="2"/>
  <c r="Y86" i="2"/>
  <c r="Y85" i="2"/>
  <c r="Y84" i="2"/>
  <c r="Y83" i="2"/>
  <c r="Y81" i="2"/>
  <c r="Y80" i="2"/>
  <c r="Y82" i="2"/>
  <c r="Y79" i="2"/>
  <c r="Y78" i="2"/>
  <c r="Y77" i="2"/>
  <c r="Y76" i="2"/>
  <c r="Y75" i="2"/>
  <c r="Y73" i="2"/>
  <c r="Y72" i="2"/>
  <c r="Y71" i="2"/>
  <c r="Y70" i="2"/>
  <c r="Y69" i="2"/>
  <c r="Y68" i="2"/>
  <c r="Y26" i="2"/>
  <c r="Y47" i="2"/>
  <c r="Y67" i="2" l="1"/>
  <c r="X5" i="2" l="1"/>
  <c r="X26" i="2"/>
  <c r="X47" i="2"/>
  <c r="X67" i="2" l="1"/>
  <c r="W5" i="2"/>
  <c r="W26" i="2"/>
  <c r="W47" i="2"/>
  <c r="N36" i="2"/>
  <c r="N77" i="2" s="1"/>
  <c r="M36" i="2"/>
  <c r="V5" i="2"/>
  <c r="U47" i="2"/>
  <c r="U5" i="2"/>
  <c r="S5" i="2"/>
  <c r="V47" i="2"/>
  <c r="S84" i="2"/>
  <c r="S86" i="2"/>
  <c r="S73" i="2"/>
  <c r="S10" i="2"/>
  <c r="S72" i="2" s="1"/>
  <c r="S17" i="2"/>
  <c r="S79" i="2" s="1"/>
  <c r="S20" i="2"/>
  <c r="S82" i="2" s="1"/>
  <c r="S18" i="2"/>
  <c r="S80" i="2" s="1"/>
  <c r="S19" i="2"/>
  <c r="S81" i="2" s="1"/>
  <c r="S87" i="2"/>
  <c r="S68" i="2"/>
  <c r="T47" i="2"/>
  <c r="T26" i="2"/>
  <c r="T5" i="2"/>
  <c r="S16" i="2"/>
  <c r="S78" i="2" s="1"/>
  <c r="S15" i="2"/>
  <c r="S77" i="2" s="1"/>
  <c r="S14" i="2"/>
  <c r="S9" i="2"/>
  <c r="S71" i="2" s="1"/>
  <c r="S13" i="2"/>
  <c r="S75" i="2" s="1"/>
  <c r="S35" i="2"/>
  <c r="S70" i="2"/>
  <c r="S69" i="2"/>
  <c r="S47" i="2"/>
  <c r="S26" i="2"/>
  <c r="Q14" i="2"/>
  <c r="R63" i="2"/>
  <c r="R43" i="2"/>
  <c r="R22" i="2"/>
  <c r="R87" i="2"/>
  <c r="Q87" i="2"/>
  <c r="R5" i="2"/>
  <c r="R26" i="2"/>
  <c r="R47" i="2"/>
  <c r="R68" i="2"/>
  <c r="R69" i="2"/>
  <c r="R70" i="2"/>
  <c r="R71" i="2"/>
  <c r="R75" i="2"/>
  <c r="R76" i="2"/>
  <c r="R77" i="2"/>
  <c r="R78" i="2"/>
  <c r="R79" i="2"/>
  <c r="R82" i="2"/>
  <c r="R80" i="2"/>
  <c r="R81" i="2"/>
  <c r="R86" i="2"/>
  <c r="Q27" i="2"/>
  <c r="Q6" i="2"/>
  <c r="Q37" i="2"/>
  <c r="Q36" i="2"/>
  <c r="Q35" i="2"/>
  <c r="Q16" i="2"/>
  <c r="Q15" i="2"/>
  <c r="Q13" i="2"/>
  <c r="Q75" i="2" s="1"/>
  <c r="Q32" i="2"/>
  <c r="Q31" i="2"/>
  <c r="Q11" i="2"/>
  <c r="Q10" i="2"/>
  <c r="Q30" i="2"/>
  <c r="Q29" i="2"/>
  <c r="Q9" i="2"/>
  <c r="Q8" i="2"/>
  <c r="Q28" i="2"/>
  <c r="Q26" i="2" s="1"/>
  <c r="Q7" i="2"/>
  <c r="Q79" i="2"/>
  <c r="Q82" i="2"/>
  <c r="Q80" i="2"/>
  <c r="Q81" i="2"/>
  <c r="Q22" i="2"/>
  <c r="Q84" i="2" s="1"/>
  <c r="Q86" i="2"/>
  <c r="Q47" i="2"/>
  <c r="O90" i="2"/>
  <c r="P87" i="2"/>
  <c r="P86" i="2"/>
  <c r="P84" i="2"/>
  <c r="P81" i="2"/>
  <c r="P80" i="2"/>
  <c r="P82" i="2"/>
  <c r="P79" i="2"/>
  <c r="P78" i="2"/>
  <c r="P77" i="2"/>
  <c r="P76" i="2"/>
  <c r="P75" i="2"/>
  <c r="P73" i="2"/>
  <c r="P72" i="2"/>
  <c r="P71" i="2"/>
  <c r="P70" i="2"/>
  <c r="P69" i="2"/>
  <c r="P68" i="2"/>
  <c r="P47" i="2"/>
  <c r="P26" i="2"/>
  <c r="P5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O47" i="2"/>
  <c r="O46" i="2"/>
  <c r="O40" i="2"/>
  <c r="O39" i="2"/>
  <c r="O41" i="2"/>
  <c r="O38" i="2"/>
  <c r="O32" i="2"/>
  <c r="O31" i="2"/>
  <c r="O30" i="2"/>
  <c r="O29" i="2"/>
  <c r="O27" i="2"/>
  <c r="O28" i="2"/>
  <c r="O25" i="2"/>
  <c r="O19" i="2"/>
  <c r="O18" i="2"/>
  <c r="O20" i="2"/>
  <c r="O17" i="2"/>
  <c r="O11" i="2"/>
  <c r="O10" i="2"/>
  <c r="O9" i="2"/>
  <c r="O8" i="2"/>
  <c r="O6" i="2"/>
  <c r="O7" i="2"/>
  <c r="O86" i="2"/>
  <c r="O84" i="2"/>
  <c r="O78" i="2"/>
  <c r="O77" i="2"/>
  <c r="O76" i="2"/>
  <c r="O75" i="2"/>
  <c r="N67" i="2"/>
  <c r="N68" i="2"/>
  <c r="N69" i="2"/>
  <c r="N70" i="2"/>
  <c r="N71" i="2"/>
  <c r="N72" i="2"/>
  <c r="N73" i="2"/>
  <c r="N75" i="2"/>
  <c r="N76" i="2"/>
  <c r="N78" i="2"/>
  <c r="N79" i="2"/>
  <c r="N82" i="2"/>
  <c r="N80" i="2"/>
  <c r="N81" i="2"/>
  <c r="N84" i="2"/>
  <c r="N86" i="2"/>
  <c r="N87" i="2"/>
  <c r="M56" i="2"/>
  <c r="M55" i="2"/>
  <c r="M54" i="2"/>
  <c r="L57" i="2"/>
  <c r="L56" i="2"/>
  <c r="L55" i="2"/>
  <c r="K57" i="2"/>
  <c r="K56" i="2"/>
  <c r="K55" i="2"/>
  <c r="K54" i="2"/>
  <c r="M37" i="2"/>
  <c r="M35" i="2"/>
  <c r="L37" i="2"/>
  <c r="L36" i="2"/>
  <c r="L35" i="2"/>
  <c r="L34" i="2"/>
  <c r="K37" i="2"/>
  <c r="K36" i="2"/>
  <c r="K35" i="2"/>
  <c r="M16" i="2"/>
  <c r="M15" i="2"/>
  <c r="M14" i="2"/>
  <c r="M13" i="2"/>
  <c r="L16" i="2"/>
  <c r="L15" i="2"/>
  <c r="L14" i="2"/>
  <c r="L13" i="2"/>
  <c r="K16" i="2"/>
  <c r="K15" i="2"/>
  <c r="K14" i="2"/>
  <c r="K13" i="2"/>
  <c r="J13" i="2"/>
  <c r="J75" i="2" s="1"/>
  <c r="J55" i="2"/>
  <c r="J35" i="2"/>
  <c r="J14" i="2"/>
  <c r="J56" i="2"/>
  <c r="J36" i="2"/>
  <c r="J15" i="2"/>
  <c r="J37" i="2"/>
  <c r="J16" i="2"/>
  <c r="M50" i="2"/>
  <c r="M29" i="2"/>
  <c r="M8" i="2"/>
  <c r="M9" i="2"/>
  <c r="M71" i="2" s="1"/>
  <c r="M66" i="2"/>
  <c r="M52" i="2"/>
  <c r="M47" i="2"/>
  <c r="M26" i="2"/>
  <c r="M5" i="2"/>
  <c r="M68" i="2"/>
  <c r="M69" i="2"/>
  <c r="M31" i="2"/>
  <c r="M10" i="2"/>
  <c r="M32" i="2"/>
  <c r="M11" i="2"/>
  <c r="M38" i="2"/>
  <c r="M17" i="2"/>
  <c r="M41" i="2"/>
  <c r="M20" i="2"/>
  <c r="M39" i="2"/>
  <c r="M18" i="2"/>
  <c r="M40" i="2"/>
  <c r="M19" i="2"/>
  <c r="M43" i="2"/>
  <c r="M22" i="2"/>
  <c r="M45" i="2"/>
  <c r="M24" i="2"/>
  <c r="M46" i="2"/>
  <c r="M25" i="2"/>
  <c r="C6" i="2"/>
  <c r="C7" i="2"/>
  <c r="L63" i="2"/>
  <c r="L45" i="2"/>
  <c r="L86" i="2" s="1"/>
  <c r="L43" i="2"/>
  <c r="L87" i="2"/>
  <c r="L81" i="2"/>
  <c r="L80" i="2"/>
  <c r="L82" i="2"/>
  <c r="L79" i="2"/>
  <c r="L73" i="2"/>
  <c r="L72" i="2"/>
  <c r="L71" i="2"/>
  <c r="L70" i="2"/>
  <c r="L69" i="2"/>
  <c r="L68" i="2"/>
  <c r="L47" i="2"/>
  <c r="L26" i="2"/>
  <c r="L5" i="2"/>
  <c r="K26" i="2"/>
  <c r="K87" i="2"/>
  <c r="K86" i="2"/>
  <c r="K84" i="2"/>
  <c r="K81" i="2"/>
  <c r="K80" i="2"/>
  <c r="K82" i="2"/>
  <c r="K79" i="2"/>
  <c r="K73" i="2"/>
  <c r="K72" i="2"/>
  <c r="K71" i="2"/>
  <c r="K70" i="2"/>
  <c r="K69" i="2"/>
  <c r="K68" i="2"/>
  <c r="K47" i="2"/>
  <c r="K5" i="2"/>
  <c r="C27" i="2"/>
  <c r="C28" i="2"/>
  <c r="D27" i="2"/>
  <c r="D28" i="2"/>
  <c r="E27" i="2"/>
  <c r="E28" i="2"/>
  <c r="F27" i="2"/>
  <c r="F28" i="2"/>
  <c r="G27" i="2"/>
  <c r="G28" i="2"/>
  <c r="H27" i="2"/>
  <c r="H26" i="2" s="1"/>
  <c r="H28" i="2"/>
  <c r="I26" i="2"/>
  <c r="J26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8" i="2"/>
  <c r="D38" i="2"/>
  <c r="E38" i="2"/>
  <c r="F38" i="2"/>
  <c r="G38" i="2"/>
  <c r="H38" i="2"/>
  <c r="C41" i="2"/>
  <c r="D41" i="2"/>
  <c r="E41" i="2"/>
  <c r="F41" i="2"/>
  <c r="G41" i="2"/>
  <c r="H41" i="2"/>
  <c r="C39" i="2"/>
  <c r="D39" i="2"/>
  <c r="E39" i="2"/>
  <c r="F39" i="2"/>
  <c r="G39" i="2"/>
  <c r="H39" i="2"/>
  <c r="C40" i="2"/>
  <c r="D40" i="2"/>
  <c r="E40" i="2"/>
  <c r="F40" i="2"/>
  <c r="G40" i="2"/>
  <c r="H40" i="2"/>
  <c r="C43" i="2"/>
  <c r="D43" i="2"/>
  <c r="E43" i="2"/>
  <c r="F43" i="2"/>
  <c r="G43" i="2"/>
  <c r="H43" i="2"/>
  <c r="C46" i="2"/>
  <c r="D46" i="2"/>
  <c r="E46" i="2"/>
  <c r="F46" i="2"/>
  <c r="G46" i="2"/>
  <c r="H46" i="2"/>
  <c r="J86" i="2"/>
  <c r="I86" i="2"/>
  <c r="H86" i="2"/>
  <c r="G86" i="2"/>
  <c r="F86" i="2"/>
  <c r="E86" i="2"/>
  <c r="D86" i="2"/>
  <c r="C86" i="2"/>
  <c r="J87" i="2"/>
  <c r="J84" i="2"/>
  <c r="J81" i="2"/>
  <c r="J80" i="2"/>
  <c r="J82" i="2"/>
  <c r="J79" i="2"/>
  <c r="J73" i="2"/>
  <c r="J72" i="2"/>
  <c r="J71" i="2"/>
  <c r="J70" i="2"/>
  <c r="J69" i="2"/>
  <c r="J68" i="2"/>
  <c r="J47" i="2"/>
  <c r="J5" i="2"/>
  <c r="I87" i="2"/>
  <c r="I84" i="2"/>
  <c r="I81" i="2"/>
  <c r="I80" i="2"/>
  <c r="I82" i="2"/>
  <c r="I79" i="2"/>
  <c r="I73" i="2"/>
  <c r="I72" i="2"/>
  <c r="I71" i="2"/>
  <c r="I70" i="2"/>
  <c r="I69" i="2"/>
  <c r="I68" i="2"/>
  <c r="I47" i="2"/>
  <c r="I5" i="2"/>
  <c r="H66" i="2"/>
  <c r="H25" i="2"/>
  <c r="G66" i="2"/>
  <c r="G25" i="2"/>
  <c r="F66" i="2"/>
  <c r="F25" i="2"/>
  <c r="E66" i="2"/>
  <c r="E25" i="2"/>
  <c r="D66" i="2"/>
  <c r="D25" i="2"/>
  <c r="C66" i="2"/>
  <c r="C25" i="2"/>
  <c r="H63" i="2"/>
  <c r="H22" i="2"/>
  <c r="G63" i="2"/>
  <c r="G22" i="2"/>
  <c r="F63" i="2"/>
  <c r="F22" i="2"/>
  <c r="E63" i="2"/>
  <c r="E22" i="2"/>
  <c r="D63" i="2"/>
  <c r="D22" i="2"/>
  <c r="C63" i="2"/>
  <c r="C22" i="2"/>
  <c r="H19" i="2"/>
  <c r="H81" i="2" s="1"/>
  <c r="G60" i="2"/>
  <c r="G19" i="2"/>
  <c r="F19" i="2"/>
  <c r="E19" i="2"/>
  <c r="D60" i="2"/>
  <c r="D19" i="2"/>
  <c r="C19" i="2"/>
  <c r="H18" i="2"/>
  <c r="G18" i="2"/>
  <c r="F18" i="2"/>
  <c r="E59" i="2"/>
  <c r="E18" i="2"/>
  <c r="D59" i="2"/>
  <c r="D18" i="2"/>
  <c r="C18" i="2"/>
  <c r="H20" i="2"/>
  <c r="G61" i="2"/>
  <c r="G20" i="2"/>
  <c r="F20" i="2"/>
  <c r="E20" i="2"/>
  <c r="D20" i="2"/>
  <c r="C20" i="2"/>
  <c r="H17" i="2"/>
  <c r="G17" i="2"/>
  <c r="F17" i="2"/>
  <c r="E17" i="2"/>
  <c r="D17" i="2"/>
  <c r="C17" i="2"/>
  <c r="H11" i="2"/>
  <c r="G53" i="2"/>
  <c r="G11" i="2"/>
  <c r="F11" i="2"/>
  <c r="E53" i="2"/>
  <c r="E11" i="2"/>
  <c r="D53" i="2"/>
  <c r="D11" i="2"/>
  <c r="C53" i="2"/>
  <c r="C11" i="2"/>
  <c r="H52" i="2"/>
  <c r="H10" i="2"/>
  <c r="G52" i="2"/>
  <c r="G10" i="2"/>
  <c r="F52" i="2"/>
  <c r="F10" i="2"/>
  <c r="E52" i="2"/>
  <c r="E10" i="2"/>
  <c r="D52" i="2"/>
  <c r="D10" i="2"/>
  <c r="C52" i="2"/>
  <c r="C10" i="2"/>
  <c r="H9" i="2"/>
  <c r="H71" i="2" s="1"/>
  <c r="G9" i="2"/>
  <c r="F9" i="2"/>
  <c r="E9" i="2"/>
  <c r="D9" i="2"/>
  <c r="D71" i="2" s="1"/>
  <c r="C9" i="2"/>
  <c r="H8" i="2"/>
  <c r="G8" i="2"/>
  <c r="F8" i="2"/>
  <c r="F70" i="2" s="1"/>
  <c r="E8" i="2"/>
  <c r="D8" i="2"/>
  <c r="C8" i="2"/>
  <c r="H7" i="2"/>
  <c r="G7" i="2"/>
  <c r="F7" i="2"/>
  <c r="E49" i="2"/>
  <c r="E7" i="2"/>
  <c r="D7" i="2"/>
  <c r="H48" i="2"/>
  <c r="H47" i="2" s="1"/>
  <c r="H6" i="2"/>
  <c r="G48" i="2"/>
  <c r="G47" i="2" s="1"/>
  <c r="G6" i="2"/>
  <c r="G5" i="2" s="1"/>
  <c r="F48" i="2"/>
  <c r="F47" i="2" s="1"/>
  <c r="F6" i="2"/>
  <c r="E48" i="2"/>
  <c r="E47" i="2" s="1"/>
  <c r="E6" i="2"/>
  <c r="D48" i="2"/>
  <c r="D47" i="2" s="1"/>
  <c r="D6" i="2"/>
  <c r="C48" i="2"/>
  <c r="C47" i="2"/>
  <c r="V26" i="2"/>
  <c r="U26" i="2"/>
  <c r="D26" i="2"/>
  <c r="Q68" i="2"/>
  <c r="Q76" i="2" l="1"/>
  <c r="O82" i="2"/>
  <c r="O69" i="2"/>
  <c r="H80" i="2"/>
  <c r="Q5" i="2"/>
  <c r="F79" i="2"/>
  <c r="G26" i="2"/>
  <c r="G67" i="2" s="1"/>
  <c r="M86" i="2"/>
  <c r="M82" i="2"/>
  <c r="M84" i="2"/>
  <c r="H5" i="2"/>
  <c r="I67" i="2"/>
  <c r="E26" i="2"/>
  <c r="J77" i="2"/>
  <c r="H73" i="2"/>
  <c r="O70" i="2"/>
  <c r="F81" i="2"/>
  <c r="F73" i="2"/>
  <c r="Q69" i="2"/>
  <c r="C68" i="2"/>
  <c r="E84" i="2"/>
  <c r="D5" i="2"/>
  <c r="D67" i="2" s="1"/>
  <c r="D81" i="2"/>
  <c r="E87" i="2"/>
  <c r="C87" i="2"/>
  <c r="Q78" i="2"/>
  <c r="H70" i="2"/>
  <c r="E5" i="2"/>
  <c r="G71" i="2"/>
  <c r="E81" i="2"/>
  <c r="F26" i="2"/>
  <c r="G87" i="2"/>
  <c r="D69" i="2"/>
  <c r="E70" i="2"/>
  <c r="M67" i="2"/>
  <c r="J76" i="2"/>
  <c r="P67" i="2"/>
  <c r="C26" i="2"/>
  <c r="S76" i="2"/>
  <c r="U67" i="2"/>
  <c r="F5" i="2"/>
  <c r="Q71" i="2"/>
  <c r="L84" i="2"/>
  <c r="G69" i="2"/>
  <c r="G79" i="2"/>
  <c r="H82" i="2"/>
  <c r="K67" i="2"/>
  <c r="C69" i="2"/>
  <c r="J78" i="2"/>
  <c r="V67" i="2"/>
  <c r="M80" i="2"/>
  <c r="Q72" i="2"/>
  <c r="M87" i="2"/>
  <c r="C71" i="2"/>
  <c r="S67" i="2"/>
  <c r="H69" i="2"/>
  <c r="D72" i="2"/>
  <c r="H72" i="2"/>
  <c r="H79" i="2"/>
  <c r="C80" i="2"/>
  <c r="G84" i="2"/>
  <c r="D82" i="2"/>
  <c r="L67" i="2"/>
  <c r="C5" i="2"/>
  <c r="C67" i="2" s="1"/>
  <c r="M81" i="2"/>
  <c r="M73" i="2"/>
  <c r="O26" i="2"/>
  <c r="T67" i="2"/>
  <c r="L76" i="2"/>
  <c r="O79" i="2"/>
  <c r="Q67" i="2"/>
  <c r="Q73" i="2"/>
  <c r="D80" i="2"/>
  <c r="R84" i="2"/>
  <c r="M70" i="2"/>
  <c r="L77" i="2"/>
  <c r="M77" i="2"/>
  <c r="W67" i="2"/>
  <c r="D84" i="2"/>
  <c r="F82" i="2"/>
  <c r="D79" i="2"/>
  <c r="F71" i="2"/>
  <c r="D70" i="2"/>
  <c r="F69" i="2"/>
  <c r="O5" i="2"/>
  <c r="E67" i="2"/>
  <c r="M75" i="2"/>
  <c r="C79" i="2"/>
  <c r="F87" i="2"/>
  <c r="G73" i="2"/>
  <c r="F80" i="2"/>
  <c r="O87" i="2"/>
  <c r="J67" i="2"/>
  <c r="E82" i="2"/>
  <c r="G80" i="2"/>
  <c r="L75" i="2"/>
  <c r="M78" i="2"/>
  <c r="H84" i="2"/>
  <c r="D87" i="2"/>
  <c r="M72" i="2"/>
  <c r="K77" i="2"/>
  <c r="O73" i="2"/>
  <c r="O81" i="2"/>
  <c r="F68" i="2"/>
  <c r="E68" i="2"/>
  <c r="E69" i="2"/>
  <c r="C72" i="2"/>
  <c r="E72" i="2"/>
  <c r="F72" i="2"/>
  <c r="G72" i="2"/>
  <c r="C73" i="2"/>
  <c r="D73" i="2"/>
  <c r="E73" i="2"/>
  <c r="G82" i="2"/>
  <c r="E80" i="2"/>
  <c r="G81" i="2"/>
  <c r="F84" i="2"/>
  <c r="H87" i="2"/>
  <c r="M79" i="2"/>
  <c r="K76" i="2"/>
  <c r="L78" i="2"/>
  <c r="O72" i="2"/>
  <c r="O68" i="2"/>
  <c r="O71" i="2"/>
  <c r="O80" i="2"/>
  <c r="Q70" i="2"/>
  <c r="Q77" i="2"/>
  <c r="R67" i="2"/>
  <c r="G68" i="2"/>
  <c r="H67" i="2"/>
  <c r="C81" i="2"/>
  <c r="C82" i="2"/>
  <c r="E79" i="2"/>
  <c r="M76" i="2"/>
  <c r="D68" i="2"/>
  <c r="H68" i="2"/>
  <c r="E71" i="2"/>
  <c r="C70" i="2"/>
  <c r="K75" i="2"/>
  <c r="G70" i="2"/>
  <c r="K78" i="2"/>
  <c r="F67" i="2" l="1"/>
  <c r="O67" i="2"/>
</calcChain>
</file>

<file path=xl/sharedStrings.xml><?xml version="1.0" encoding="utf-8"?>
<sst xmlns="http://schemas.openxmlformats.org/spreadsheetml/2006/main" count="184" uniqueCount="61">
  <si>
    <t>Student Demographics</t>
  </si>
  <si>
    <t>Student Classification/</t>
  </si>
  <si>
    <t>Fall Semester</t>
  </si>
  <si>
    <t>Student Status</t>
  </si>
  <si>
    <t>1990</t>
  </si>
  <si>
    <t>1991</t>
  </si>
  <si>
    <t>1992</t>
  </si>
  <si>
    <t>1993</t>
  </si>
  <si>
    <t>1994</t>
  </si>
  <si>
    <t>1995</t>
  </si>
  <si>
    <t>Undergraduates</t>
  </si>
  <si>
    <t>Full-Time</t>
  </si>
  <si>
    <t>Part-Time</t>
  </si>
  <si>
    <t>In-State</t>
  </si>
  <si>
    <t>Out-of-State</t>
  </si>
  <si>
    <t>Men</t>
  </si>
  <si>
    <t>Women</t>
  </si>
  <si>
    <t>Non-Res. Alien</t>
  </si>
  <si>
    <t>Black</t>
  </si>
  <si>
    <t>American Indian</t>
  </si>
  <si>
    <t>Asian</t>
  </si>
  <si>
    <t>Hispanic</t>
  </si>
  <si>
    <t>White</t>
  </si>
  <si>
    <t>Graduate Students</t>
  </si>
  <si>
    <t>Veterinary Medicine</t>
  </si>
  <si>
    <t>Total Enrollment</t>
  </si>
  <si>
    <r>
      <t>1st Time Freshmen</t>
    </r>
    <r>
      <rPr>
        <b/>
        <vertAlign val="superscript"/>
        <sz val="10"/>
        <color indexed="8"/>
        <rFont val="Arial"/>
        <family val="2"/>
      </rPr>
      <t>1</t>
    </r>
  </si>
  <si>
    <r>
      <t>Unknown, Multi-Racial</t>
    </r>
    <r>
      <rPr>
        <vertAlign val="superscript"/>
        <sz val="10"/>
        <color indexed="8"/>
        <rFont val="Arial"/>
        <family val="2"/>
      </rPr>
      <t>*</t>
    </r>
  </si>
  <si>
    <t>Agriculture</t>
  </si>
  <si>
    <t>Total</t>
  </si>
  <si>
    <t>Architecture</t>
  </si>
  <si>
    <t>Arts &amp; Sciences</t>
  </si>
  <si>
    <t>Business</t>
  </si>
  <si>
    <t>Education</t>
  </si>
  <si>
    <t>Engineering</t>
  </si>
  <si>
    <t>Masters</t>
  </si>
  <si>
    <t>PhD's</t>
  </si>
  <si>
    <t>Technology*</t>
  </si>
  <si>
    <t xml:space="preserve"> </t>
  </si>
  <si>
    <t>1st Professional</t>
  </si>
  <si>
    <t>*Only includes students enrolled in majors offered in the College of Technology &amp; Aviation</t>
  </si>
  <si>
    <t>Unknown</t>
  </si>
  <si>
    <t>PhD's/EDD's</t>
  </si>
  <si>
    <t>Student Enrollment by College</t>
  </si>
  <si>
    <t>Total**</t>
  </si>
  <si>
    <t>Age: 19 and Under</t>
  </si>
  <si>
    <t>Age: 20-24</t>
  </si>
  <si>
    <t>Age: 25-39</t>
  </si>
  <si>
    <t>Age: 40 and Over</t>
  </si>
  <si>
    <t>Hawaiian/Pacific Is</t>
  </si>
  <si>
    <t>Multiracial</t>
  </si>
  <si>
    <t>PhD/EdD</t>
  </si>
  <si>
    <t>Full-Time*</t>
  </si>
  <si>
    <t>*FT based on 12 cr hrs for undegraduates, 9 cr hrs for graduate students (6 cr hrs for graduate students with assistantships)</t>
  </si>
  <si>
    <t>Health and Human Sciences</t>
  </si>
  <si>
    <t>Applied Interdisciplinary Studies</t>
  </si>
  <si>
    <t>Graduate School</t>
  </si>
  <si>
    <t>1st Professional VM</t>
  </si>
  <si>
    <t>Other/Unknown</t>
  </si>
  <si>
    <t>Gender Unknown</t>
  </si>
  <si>
    <t>Undergraduate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</si>
</sst>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01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43" fontId="5" fillId="0" borderId="0" applyFont="0" applyFill="0" applyBorder="0" applyAlignment="0" applyProtection="0"/>
    <xf numFmtId="0" fontId="16" fillId="0" borderId="0" applyFill="0" applyBorder="0" applyAlignment="0" applyProtection="0"/>
    <xf numFmtId="0" fontId="26" fillId="0" borderId="0" applyNumberFormat="0" applyFill="0" applyBorder="0" applyAlignment="0" applyProtection="0"/>
    <xf numFmtId="2" fontId="16" fillId="0" borderId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33" fillId="22" borderId="0" applyNumberFormat="0" applyBorder="0" applyAlignment="0" applyProtection="0"/>
    <xf numFmtId="0" fontId="37" fillId="0" borderId="0"/>
    <xf numFmtId="0" fontId="10" fillId="23" borderId="7" applyNumberFormat="0" applyFont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4" fillId="0" borderId="0"/>
    <xf numFmtId="0" fontId="38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2" fillId="50" borderId="64" applyNumberFormat="0" applyAlignment="0" applyProtection="0"/>
    <xf numFmtId="0" fontId="43" fillId="51" borderId="65" applyNumberFormat="0" applyAlignment="0" applyProtection="0"/>
    <xf numFmtId="0" fontId="44" fillId="0" borderId="0" applyNumberFormat="0" applyFill="0" applyBorder="0" applyAlignment="0" applyProtection="0"/>
    <xf numFmtId="0" fontId="45" fillId="52" borderId="0" applyNumberFormat="0" applyBorder="0" applyAlignment="0" applyProtection="0"/>
    <xf numFmtId="0" fontId="46" fillId="0" borderId="66" applyNumberFormat="0" applyFill="0" applyAlignment="0" applyProtection="0"/>
    <xf numFmtId="0" fontId="47" fillId="0" borderId="67" applyNumberFormat="0" applyFill="0" applyAlignment="0" applyProtection="0"/>
    <xf numFmtId="0" fontId="48" fillId="0" borderId="68" applyNumberFormat="0" applyFill="0" applyAlignment="0" applyProtection="0"/>
    <xf numFmtId="0" fontId="48" fillId="0" borderId="0" applyNumberFormat="0" applyFill="0" applyBorder="0" applyAlignment="0" applyProtection="0"/>
    <xf numFmtId="0" fontId="49" fillId="53" borderId="64" applyNumberFormat="0" applyAlignment="0" applyProtection="0"/>
    <xf numFmtId="0" fontId="50" fillId="0" borderId="69" applyNumberFormat="0" applyFill="0" applyAlignment="0" applyProtection="0"/>
    <xf numFmtId="0" fontId="51" fillId="54" borderId="0" applyNumberFormat="0" applyBorder="0" applyAlignment="0" applyProtection="0"/>
    <xf numFmtId="0" fontId="39" fillId="0" borderId="0"/>
    <xf numFmtId="0" fontId="2" fillId="0" borderId="0"/>
    <xf numFmtId="0" fontId="3" fillId="0" borderId="0"/>
    <xf numFmtId="0" fontId="1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2" fillId="55" borderId="70" applyNumberFormat="0" applyFont="0" applyAlignment="0" applyProtection="0"/>
    <xf numFmtId="0" fontId="52" fillId="50" borderId="71" applyNumberFormat="0" applyAlignment="0" applyProtection="0"/>
    <xf numFmtId="0" fontId="53" fillId="0" borderId="0" applyNumberFormat="0" applyFill="0" applyBorder="0" applyAlignment="0" applyProtection="0"/>
    <xf numFmtId="0" fontId="54" fillId="0" borderId="72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223">
    <xf numFmtId="0" fontId="0" fillId="0" borderId="0" xfId="0"/>
    <xf numFmtId="0" fontId="7" fillId="0" borderId="10" xfId="0" applyFont="1" applyBorder="1"/>
    <xf numFmtId="0" fontId="9" fillId="0" borderId="10" xfId="0" applyFont="1" applyBorder="1"/>
    <xf numFmtId="3" fontId="9" fillId="0" borderId="0" xfId="0" applyNumberFormat="1" applyFont="1"/>
    <xf numFmtId="3" fontId="9" fillId="0" borderId="13" xfId="0" applyNumberFormat="1" applyFont="1" applyBorder="1"/>
    <xf numFmtId="164" fontId="9" fillId="0" borderId="0" xfId="28" applyNumberFormat="1" applyFont="1" applyBorder="1"/>
    <xf numFmtId="164" fontId="9" fillId="0" borderId="14" xfId="28" applyNumberFormat="1" applyFont="1" applyBorder="1"/>
    <xf numFmtId="0" fontId="5" fillId="0" borderId="10" xfId="0" applyFont="1" applyBorder="1" applyAlignment="1">
      <alignment horizontal="right"/>
    </xf>
    <xf numFmtId="3" fontId="5" fillId="0" borderId="0" xfId="0" applyNumberFormat="1" applyFont="1"/>
    <xf numFmtId="3" fontId="5" fillId="0" borderId="13" xfId="0" applyNumberFormat="1" applyFont="1" applyBorder="1"/>
    <xf numFmtId="164" fontId="5" fillId="0" borderId="0" xfId="28" applyNumberFormat="1" applyFont="1" applyBorder="1"/>
    <xf numFmtId="164" fontId="5" fillId="0" borderId="14" xfId="28" applyNumberFormat="1" applyFont="1" applyBorder="1"/>
    <xf numFmtId="164" fontId="5" fillId="0" borderId="14" xfId="28" applyNumberFormat="1" applyFont="1" applyFill="1" applyBorder="1"/>
    <xf numFmtId="164" fontId="5" fillId="0" borderId="13" xfId="28" applyNumberFormat="1" applyFont="1" applyFill="1" applyBorder="1"/>
    <xf numFmtId="164" fontId="5" fillId="0" borderId="14" xfId="28" applyNumberFormat="1" applyBorder="1"/>
    <xf numFmtId="164" fontId="5" fillId="0" borderId="13" xfId="28" applyNumberFormat="1" applyBorder="1"/>
    <xf numFmtId="0" fontId="9" fillId="0" borderId="16" xfId="0" applyFont="1" applyBorder="1"/>
    <xf numFmtId="3" fontId="9" fillId="0" borderId="17" xfId="0" applyNumberFormat="1" applyFont="1" applyBorder="1"/>
    <xf numFmtId="3" fontId="9" fillId="0" borderId="18" xfId="0" applyNumberFormat="1" applyFont="1" applyBorder="1"/>
    <xf numFmtId="164" fontId="9" fillId="0" borderId="17" xfId="28" applyNumberFormat="1" applyFont="1" applyBorder="1"/>
    <xf numFmtId="164" fontId="9" fillId="0" borderId="19" xfId="28" applyNumberFormat="1" applyFont="1" applyBorder="1"/>
    <xf numFmtId="164" fontId="5" fillId="0" borderId="0" xfId="28" applyNumberFormat="1" applyFont="1" applyFill="1" applyBorder="1"/>
    <xf numFmtId="0" fontId="5" fillId="0" borderId="0" xfId="0" applyFont="1"/>
    <xf numFmtId="0" fontId="5" fillId="0" borderId="13" xfId="0" applyFont="1" applyBorder="1"/>
    <xf numFmtId="3" fontId="5" fillId="0" borderId="20" xfId="0" applyNumberFormat="1" applyFont="1" applyBorder="1"/>
    <xf numFmtId="164" fontId="5" fillId="0" borderId="20" xfId="28" applyNumberFormat="1" applyFont="1" applyBorder="1"/>
    <xf numFmtId="0" fontId="5" fillId="0" borderId="0" xfId="0" applyFont="1" applyAlignment="1">
      <alignment horizontal="right"/>
    </xf>
    <xf numFmtId="0" fontId="10" fillId="0" borderId="10" xfId="0" applyFont="1" applyBorder="1" applyAlignment="1">
      <alignment horizontal="right"/>
    </xf>
    <xf numFmtId="3" fontId="10" fillId="0" borderId="0" xfId="0" applyNumberFormat="1" applyFont="1"/>
    <xf numFmtId="3" fontId="10" fillId="0" borderId="13" xfId="0" applyNumberFormat="1" applyFont="1" applyBorder="1"/>
    <xf numFmtId="164" fontId="10" fillId="0" borderId="0" xfId="28" applyNumberFormat="1" applyFont="1" applyBorder="1"/>
    <xf numFmtId="164" fontId="10" fillId="0" borderId="14" xfId="28" applyNumberFormat="1" applyFont="1" applyBorder="1"/>
    <xf numFmtId="164" fontId="10" fillId="0" borderId="13" xfId="28" applyNumberFormat="1" applyFont="1" applyBorder="1"/>
    <xf numFmtId="164" fontId="10" fillId="0" borderId="24" xfId="28" applyNumberFormat="1" applyFont="1" applyBorder="1"/>
    <xf numFmtId="0" fontId="10" fillId="0" borderId="21" xfId="0" applyFont="1" applyBorder="1" applyAlignment="1">
      <alignment horizontal="right"/>
    </xf>
    <xf numFmtId="3" fontId="10" fillId="0" borderId="23" xfId="0" applyNumberFormat="1" applyFont="1" applyBorder="1"/>
    <xf numFmtId="164" fontId="10" fillId="0" borderId="22" xfId="28" applyNumberFormat="1" applyFont="1" applyBorder="1"/>
    <xf numFmtId="164" fontId="10" fillId="0" borderId="15" xfId="28" applyNumberFormat="1" applyFont="1" applyBorder="1"/>
    <xf numFmtId="164" fontId="10" fillId="0" borderId="23" xfId="28" applyNumberFormat="1" applyFont="1" applyBorder="1"/>
    <xf numFmtId="0" fontId="11" fillId="0" borderId="16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0" fillId="0" borderId="12" xfId="0" applyBorder="1"/>
    <xf numFmtId="0" fontId="11" fillId="0" borderId="12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3" fontId="11" fillId="0" borderId="26" xfId="0" applyNumberFormat="1" applyFont="1" applyBorder="1" applyAlignment="1">
      <alignment vertical="top" wrapText="1"/>
    </xf>
    <xf numFmtId="164" fontId="11" fillId="0" borderId="27" xfId="28" applyNumberFormat="1" applyFont="1" applyBorder="1" applyAlignment="1">
      <alignment horizontal="right" wrapText="1"/>
    </xf>
    <xf numFmtId="164" fontId="7" fillId="0" borderId="27" xfId="28" applyNumberFormat="1" applyFont="1" applyBorder="1" applyAlignment="1">
      <alignment horizontal="right" wrapText="1"/>
    </xf>
    <xf numFmtId="164" fontId="7" fillId="0" borderId="28" xfId="28" applyNumberFormat="1" applyFont="1" applyBorder="1" applyAlignment="1">
      <alignment horizontal="right" wrapText="1"/>
    </xf>
    <xf numFmtId="0" fontId="13" fillId="0" borderId="26" xfId="0" applyFont="1" applyBorder="1" applyAlignment="1">
      <alignment horizontal="right" vertical="top" wrapText="1"/>
    </xf>
    <xf numFmtId="164" fontId="13" fillId="0" borderId="13" xfId="28" applyNumberFormat="1" applyFont="1" applyBorder="1" applyAlignment="1">
      <alignment horizontal="right" vertical="top" wrapText="1"/>
    </xf>
    <xf numFmtId="164" fontId="10" fillId="0" borderId="13" xfId="28" applyNumberFormat="1" applyFont="1" applyBorder="1" applyAlignment="1">
      <alignment horizontal="right" wrapText="1"/>
    </xf>
    <xf numFmtId="164" fontId="10" fillId="0" borderId="29" xfId="28" applyNumberFormat="1" applyFont="1" applyBorder="1" applyAlignment="1">
      <alignment horizontal="right" wrapText="1"/>
    </xf>
    <xf numFmtId="0" fontId="13" fillId="0" borderId="30" xfId="0" applyFont="1" applyBorder="1" applyAlignment="1">
      <alignment horizontal="right" vertical="top" wrapText="1"/>
    </xf>
    <xf numFmtId="0" fontId="0" fillId="0" borderId="31" xfId="0" applyBorder="1"/>
    <xf numFmtId="164" fontId="13" fillId="0" borderId="23" xfId="28" applyNumberFormat="1" applyFont="1" applyBorder="1" applyAlignment="1">
      <alignment horizontal="right" vertical="top" wrapText="1"/>
    </xf>
    <xf numFmtId="164" fontId="10" fillId="0" borderId="23" xfId="28" applyNumberFormat="1" applyFont="1" applyBorder="1" applyAlignment="1">
      <alignment horizontal="right" wrapText="1"/>
    </xf>
    <xf numFmtId="164" fontId="10" fillId="0" borderId="32" xfId="28" applyNumberFormat="1" applyFont="1" applyBorder="1" applyAlignment="1">
      <alignment horizontal="right" wrapText="1"/>
    </xf>
    <xf numFmtId="3" fontId="10" fillId="0" borderId="14" xfId="0" applyNumberFormat="1" applyFont="1" applyBorder="1"/>
    <xf numFmtId="0" fontId="7" fillId="0" borderId="34" xfId="0" applyFont="1" applyBorder="1"/>
    <xf numFmtId="3" fontId="7" fillId="0" borderId="14" xfId="0" applyNumberFormat="1" applyFont="1" applyBorder="1"/>
    <xf numFmtId="3" fontId="7" fillId="0" borderId="13" xfId="0" applyNumberFormat="1" applyFont="1" applyBorder="1"/>
    <xf numFmtId="3" fontId="7" fillId="0" borderId="24" xfId="0" applyNumberFormat="1" applyFont="1" applyBorder="1"/>
    <xf numFmtId="3" fontId="7" fillId="0" borderId="0" xfId="0" applyNumberFormat="1" applyFont="1"/>
    <xf numFmtId="3" fontId="7" fillId="0" borderId="15" xfId="0" applyNumberFormat="1" applyFont="1" applyBorder="1"/>
    <xf numFmtId="3" fontId="7" fillId="0" borderId="23" xfId="0" applyNumberFormat="1" applyFont="1" applyBorder="1"/>
    <xf numFmtId="3" fontId="7" fillId="0" borderId="39" xfId="0" applyNumberFormat="1" applyFont="1" applyBorder="1"/>
    <xf numFmtId="3" fontId="7" fillId="0" borderId="22" xfId="0" applyNumberFormat="1" applyFont="1" applyBorder="1"/>
    <xf numFmtId="0" fontId="0" fillId="0" borderId="17" xfId="0" applyBorder="1"/>
    <xf numFmtId="0" fontId="10" fillId="0" borderId="14" xfId="0" applyFont="1" applyBorder="1"/>
    <xf numFmtId="0" fontId="10" fillId="0" borderId="13" xfId="0" applyFont="1" applyBorder="1"/>
    <xf numFmtId="3" fontId="10" fillId="0" borderId="35" xfId="0" applyNumberFormat="1" applyFont="1" applyBorder="1"/>
    <xf numFmtId="3" fontId="10" fillId="0" borderId="36" xfId="0" applyNumberFormat="1" applyFont="1" applyBorder="1"/>
    <xf numFmtId="3" fontId="10" fillId="0" borderId="37" xfId="0" applyNumberFormat="1" applyFont="1" applyBorder="1"/>
    <xf numFmtId="0" fontId="10" fillId="0" borderId="35" xfId="0" applyFont="1" applyBorder="1"/>
    <xf numFmtId="0" fontId="10" fillId="0" borderId="36" xfId="0" applyFont="1" applyBorder="1"/>
    <xf numFmtId="3" fontId="0" fillId="0" borderId="0" xfId="0" applyNumberFormat="1"/>
    <xf numFmtId="0" fontId="7" fillId="0" borderId="0" xfId="0" applyFont="1" applyAlignment="1">
      <alignment horizontal="center"/>
    </xf>
    <xf numFmtId="3" fontId="0" fillId="0" borderId="13" xfId="0" applyNumberFormat="1" applyBorder="1"/>
    <xf numFmtId="0" fontId="0" fillId="0" borderId="44" xfId="0" applyBorder="1"/>
    <xf numFmtId="0" fontId="7" fillId="0" borderId="46" xfId="0" applyFont="1" applyBorder="1"/>
    <xf numFmtId="0" fontId="7" fillId="0" borderId="1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37" xfId="0" applyFont="1" applyBorder="1"/>
    <xf numFmtId="0" fontId="10" fillId="0" borderId="38" xfId="0" applyFont="1" applyBorder="1"/>
    <xf numFmtId="3" fontId="10" fillId="0" borderId="24" xfId="0" applyNumberFormat="1" applyFont="1" applyBorder="1"/>
    <xf numFmtId="3" fontId="7" fillId="0" borderId="33" xfId="0" applyNumberFormat="1" applyFont="1" applyBorder="1"/>
    <xf numFmtId="3" fontId="7" fillId="0" borderId="40" xfId="0" applyNumberFormat="1" applyFont="1" applyBorder="1"/>
    <xf numFmtId="3" fontId="10" fillId="0" borderId="38" xfId="0" applyNumberFormat="1" applyFont="1" applyBorder="1"/>
    <xf numFmtId="3" fontId="7" fillId="0" borderId="50" xfId="0" applyNumberFormat="1" applyFont="1" applyBorder="1"/>
    <xf numFmtId="3" fontId="7" fillId="0" borderId="51" xfId="0" applyNumberFormat="1" applyFont="1" applyBorder="1"/>
    <xf numFmtId="0" fontId="7" fillId="0" borderId="14" xfId="0" applyFont="1" applyBorder="1"/>
    <xf numFmtId="0" fontId="7" fillId="0" borderId="13" xfId="0" applyFont="1" applyBorder="1"/>
    <xf numFmtId="0" fontId="7" fillId="0" borderId="24" xfId="0" applyFont="1" applyBorder="1"/>
    <xf numFmtId="0" fontId="7" fillId="0" borderId="0" xfId="0" applyFont="1"/>
    <xf numFmtId="0" fontId="7" fillId="0" borderId="55" xfId="0" applyFont="1" applyBorder="1"/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64" fontId="9" fillId="0" borderId="36" xfId="28" applyNumberFormat="1" applyFont="1" applyBorder="1"/>
    <xf numFmtId="0" fontId="10" fillId="0" borderId="0" xfId="0" applyFont="1"/>
    <xf numFmtId="164" fontId="5" fillId="0" borderId="24" xfId="28" applyNumberFormat="1" applyFont="1" applyFill="1" applyBorder="1"/>
    <xf numFmtId="164" fontId="5" fillId="0" borderId="24" xfId="28" applyNumberFormat="1" applyBorder="1"/>
    <xf numFmtId="164" fontId="10" fillId="0" borderId="39" xfId="28" applyNumberFormat="1" applyFont="1" applyBorder="1"/>
    <xf numFmtId="164" fontId="10" fillId="0" borderId="14" xfId="0" applyNumberFormat="1" applyFont="1" applyBorder="1"/>
    <xf numFmtId="164" fontId="10" fillId="0" borderId="13" xfId="0" applyNumberFormat="1" applyFont="1" applyBorder="1"/>
    <xf numFmtId="164" fontId="7" fillId="0" borderId="33" xfId="0" applyNumberFormat="1" applyFont="1" applyBorder="1"/>
    <xf numFmtId="164" fontId="7" fillId="0" borderId="40" xfId="0" applyNumberFormat="1" applyFont="1" applyBorder="1"/>
    <xf numFmtId="164" fontId="10" fillId="0" borderId="33" xfId="0" applyNumberFormat="1" applyFont="1" applyBorder="1"/>
    <xf numFmtId="164" fontId="10" fillId="0" borderId="40" xfId="0" applyNumberFormat="1" applyFont="1" applyBorder="1"/>
    <xf numFmtId="164" fontId="7" fillId="0" borderId="14" xfId="0" applyNumberFormat="1" applyFont="1" applyBorder="1"/>
    <xf numFmtId="164" fontId="7" fillId="0" borderId="13" xfId="0" applyNumberFormat="1" applyFont="1" applyBorder="1"/>
    <xf numFmtId="164" fontId="7" fillId="0" borderId="15" xfId="0" applyNumberFormat="1" applyFont="1" applyBorder="1"/>
    <xf numFmtId="164" fontId="7" fillId="0" borderId="23" xfId="0" applyNumberFormat="1" applyFont="1" applyBorder="1"/>
    <xf numFmtId="0" fontId="19" fillId="0" borderId="0" xfId="0" applyFont="1"/>
    <xf numFmtId="3" fontId="10" fillId="0" borderId="22" xfId="0" applyNumberFormat="1" applyFont="1" applyBorder="1"/>
    <xf numFmtId="164" fontId="0" fillId="0" borderId="0" xfId="0" applyNumberFormat="1"/>
    <xf numFmtId="164" fontId="10" fillId="0" borderId="0" xfId="0" applyNumberFormat="1" applyFont="1"/>
    <xf numFmtId="164" fontId="7" fillId="0" borderId="51" xfId="0" applyNumberFormat="1" applyFont="1" applyBorder="1"/>
    <xf numFmtId="164" fontId="10" fillId="0" borderId="51" xfId="0" applyNumberFormat="1" applyFont="1" applyBorder="1"/>
    <xf numFmtId="164" fontId="7" fillId="0" borderId="0" xfId="0" applyNumberFormat="1" applyFont="1"/>
    <xf numFmtId="164" fontId="7" fillId="0" borderId="22" xfId="0" applyNumberFormat="1" applyFont="1" applyBorder="1"/>
    <xf numFmtId="164" fontId="10" fillId="0" borderId="13" xfId="28" applyNumberFormat="1" applyFont="1" applyFill="1" applyBorder="1"/>
    <xf numFmtId="164" fontId="9" fillId="0" borderId="24" xfId="28" applyNumberFormat="1" applyFont="1" applyBorder="1"/>
    <xf numFmtId="164" fontId="9" fillId="0" borderId="52" xfId="28" applyNumberFormat="1" applyFont="1" applyBorder="1"/>
    <xf numFmtId="164" fontId="10" fillId="0" borderId="0" xfId="28" applyNumberFormat="1" applyFont="1" applyFill="1" applyBorder="1"/>
    <xf numFmtId="0" fontId="0" fillId="0" borderId="0" xfId="0" applyAlignment="1">
      <alignment horizontal="centerContinuous"/>
    </xf>
    <xf numFmtId="3" fontId="7" fillId="0" borderId="18" xfId="0" applyNumberFormat="1" applyFont="1" applyBorder="1"/>
    <xf numFmtId="3" fontId="7" fillId="0" borderId="19" xfId="0" applyNumberFormat="1" applyFont="1" applyBorder="1"/>
    <xf numFmtId="3" fontId="7" fillId="0" borderId="53" xfId="0" applyNumberFormat="1" applyFont="1" applyBorder="1"/>
    <xf numFmtId="3" fontId="10" fillId="0" borderId="13" xfId="28" applyNumberFormat="1" applyFont="1" applyBorder="1"/>
    <xf numFmtId="3" fontId="10" fillId="0" borderId="14" xfId="28" applyNumberFormat="1" applyFont="1" applyBorder="1"/>
    <xf numFmtId="3" fontId="10" fillId="0" borderId="13" xfId="28" applyNumberFormat="1" applyFont="1" applyFill="1" applyBorder="1"/>
    <xf numFmtId="3" fontId="10" fillId="0" borderId="23" xfId="28" applyNumberFormat="1" applyFont="1" applyBorder="1"/>
    <xf numFmtId="3" fontId="10" fillId="0" borderId="15" xfId="28" applyNumberFormat="1" applyFont="1" applyBorder="1"/>
    <xf numFmtId="3" fontId="10" fillId="0" borderId="23" xfId="28" applyNumberFormat="1" applyFont="1" applyFill="1" applyBorder="1"/>
    <xf numFmtId="164" fontId="7" fillId="0" borderId="44" xfId="0" applyNumberFormat="1" applyFont="1" applyBorder="1"/>
    <xf numFmtId="164" fontId="7" fillId="0" borderId="47" xfId="0" applyNumberFormat="1" applyFont="1" applyBorder="1"/>
    <xf numFmtId="0" fontId="15" fillId="0" borderId="34" xfId="0" applyFont="1" applyBorder="1"/>
    <xf numFmtId="0" fontId="10" fillId="0" borderId="10" xfId="0" applyFont="1" applyBorder="1" applyAlignment="1">
      <alignment horizontal="left" indent="2"/>
    </xf>
    <xf numFmtId="0" fontId="7" fillId="0" borderId="10" xfId="0" applyFont="1" applyBorder="1" applyAlignment="1">
      <alignment horizontal="left" indent="2"/>
    </xf>
    <xf numFmtId="0" fontId="7" fillId="0" borderId="21" xfId="0" applyFont="1" applyBorder="1" applyAlignment="1">
      <alignment horizontal="left" indent="2"/>
    </xf>
    <xf numFmtId="0" fontId="0" fillId="0" borderId="0" xfId="0" applyAlignment="1">
      <alignment horizontal="center"/>
    </xf>
    <xf numFmtId="164" fontId="9" fillId="0" borderId="18" xfId="28" applyNumberFormat="1" applyFont="1" applyBorder="1"/>
    <xf numFmtId="164" fontId="5" fillId="0" borderId="13" xfId="28" applyNumberFormat="1" applyFont="1" applyBorder="1"/>
    <xf numFmtId="164" fontId="5" fillId="0" borderId="24" xfId="28" applyNumberFormat="1" applyFont="1" applyBorder="1"/>
    <xf numFmtId="0" fontId="20" fillId="0" borderId="41" xfId="0" applyFont="1" applyBorder="1" applyAlignment="1">
      <alignment horizontal="centerContinuous" wrapText="1"/>
    </xf>
    <xf numFmtId="0" fontId="20" fillId="0" borderId="17" xfId="0" applyFont="1" applyBorder="1" applyAlignment="1">
      <alignment horizontal="centerContinuous" wrapText="1"/>
    </xf>
    <xf numFmtId="0" fontId="18" fillId="0" borderId="48" xfId="0" applyFont="1" applyBorder="1" applyAlignment="1">
      <alignment horizontal="centerContinuous"/>
    </xf>
    <xf numFmtId="0" fontId="18" fillId="0" borderId="38" xfId="0" applyFont="1" applyBorder="1" applyAlignment="1">
      <alignment horizontal="centerContinuous"/>
    </xf>
    <xf numFmtId="0" fontId="18" fillId="0" borderId="35" xfId="0" applyFont="1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0" fillId="0" borderId="49" xfId="0" applyBorder="1" applyAlignment="1">
      <alignment horizontal="centerContinuous"/>
    </xf>
    <xf numFmtId="0" fontId="8" fillId="0" borderId="59" xfId="0" applyFont="1" applyBorder="1" applyAlignment="1">
      <alignment horizontal="centerContinuous"/>
    </xf>
    <xf numFmtId="0" fontId="8" fillId="0" borderId="60" xfId="0" applyFont="1" applyBorder="1" applyAlignment="1">
      <alignment horizontal="centerContinuous"/>
    </xf>
    <xf numFmtId="0" fontId="18" fillId="0" borderId="60" xfId="0" applyFont="1" applyBorder="1" applyAlignment="1">
      <alignment horizontal="centerContinuous"/>
    </xf>
    <xf numFmtId="0" fontId="6" fillId="0" borderId="61" xfId="0" applyFont="1" applyBorder="1" applyAlignment="1">
      <alignment horizontal="centerContinuous"/>
    </xf>
    <xf numFmtId="0" fontId="6" fillId="0" borderId="62" xfId="0" applyFont="1" applyBorder="1" applyAlignment="1">
      <alignment horizontal="centerContinuous"/>
    </xf>
    <xf numFmtId="0" fontId="0" fillId="0" borderId="63" xfId="0" applyBorder="1" applyAlignment="1">
      <alignment horizontal="centerContinuous"/>
    </xf>
    <xf numFmtId="3" fontId="0" fillId="24" borderId="13" xfId="0" applyNumberFormat="1" applyFill="1" applyBorder="1"/>
    <xf numFmtId="3" fontId="10" fillId="24" borderId="13" xfId="28" applyNumberFormat="1" applyFont="1" applyFill="1" applyBorder="1"/>
    <xf numFmtId="164" fontId="10" fillId="24" borderId="40" xfId="0" applyNumberFormat="1" applyFont="1" applyFill="1" applyBorder="1"/>
    <xf numFmtId="0" fontId="0" fillId="0" borderId="60" xfId="0" applyBorder="1" applyAlignment="1">
      <alignment horizontal="centerContinuous"/>
    </xf>
    <xf numFmtId="0" fontId="19" fillId="0" borderId="0" xfId="0" applyFont="1" applyAlignment="1">
      <alignment horizontal="centerContinuous" wrapText="1"/>
    </xf>
    <xf numFmtId="3" fontId="5" fillId="0" borderId="13" xfId="48" applyNumberFormat="1" applyBorder="1"/>
    <xf numFmtId="3" fontId="5" fillId="0" borderId="14" xfId="48" applyNumberFormat="1" applyBorder="1"/>
    <xf numFmtId="3" fontId="5" fillId="24" borderId="14" xfId="48" applyNumberFormat="1" applyFill="1" applyBorder="1"/>
    <xf numFmtId="3" fontId="5" fillId="0" borderId="23" xfId="28" applyNumberFormat="1" applyFont="1" applyFill="1" applyBorder="1"/>
    <xf numFmtId="3" fontId="5" fillId="0" borderId="15" xfId="28" applyNumberFormat="1" applyFont="1" applyFill="1" applyBorder="1"/>
    <xf numFmtId="3" fontId="5" fillId="0" borderId="13" xfId="28" applyNumberFormat="1" applyFont="1" applyFill="1" applyBorder="1"/>
    <xf numFmtId="3" fontId="5" fillId="0" borderId="14" xfId="28" applyNumberFormat="1" applyFont="1" applyFill="1" applyBorder="1"/>
    <xf numFmtId="3" fontId="5" fillId="24" borderId="14" xfId="28" applyNumberFormat="1" applyFont="1" applyFill="1" applyBorder="1"/>
    <xf numFmtId="3" fontId="7" fillId="0" borderId="37" xfId="0" applyNumberFormat="1" applyFont="1" applyBorder="1"/>
    <xf numFmtId="3" fontId="5" fillId="0" borderId="24" xfId="48" applyNumberFormat="1" applyBorder="1"/>
    <xf numFmtId="3" fontId="7" fillId="0" borderId="52" xfId="0" applyNumberFormat="1" applyFont="1" applyBorder="1"/>
    <xf numFmtId="3" fontId="5" fillId="0" borderId="24" xfId="28" applyNumberFormat="1" applyFont="1" applyFill="1" applyBorder="1"/>
    <xf numFmtId="3" fontId="5" fillId="0" borderId="39" xfId="28" applyNumberFormat="1" applyFont="1" applyFill="1" applyBorder="1"/>
    <xf numFmtId="0" fontId="0" fillId="0" borderId="24" xfId="0" applyBorder="1"/>
    <xf numFmtId="0" fontId="3" fillId="0" borderId="10" xfId="0" applyFont="1" applyBorder="1" applyAlignment="1">
      <alignment horizontal="right"/>
    </xf>
    <xf numFmtId="164" fontId="10" fillId="0" borderId="36" xfId="0" applyNumberFormat="1" applyFont="1" applyBorder="1"/>
    <xf numFmtId="3" fontId="7" fillId="0" borderId="0" xfId="28" applyNumberFormat="1" applyFont="1" applyFill="1" applyBorder="1"/>
    <xf numFmtId="3" fontId="3" fillId="0" borderId="0" xfId="28" applyNumberFormat="1" applyFont="1" applyFill="1" applyBorder="1"/>
    <xf numFmtId="164" fontId="10" fillId="24" borderId="0" xfId="0" applyNumberFormat="1" applyFont="1" applyFill="1"/>
    <xf numFmtId="164" fontId="10" fillId="24" borderId="13" xfId="0" applyNumberFormat="1" applyFont="1" applyFill="1" applyBorder="1"/>
    <xf numFmtId="0" fontId="3" fillId="0" borderId="10" xfId="0" applyFont="1" applyBorder="1" applyAlignment="1">
      <alignment horizontal="left" indent="2"/>
    </xf>
    <xf numFmtId="164" fontId="3" fillId="0" borderId="40" xfId="0" applyNumberFormat="1" applyFont="1" applyBorder="1"/>
    <xf numFmtId="0" fontId="0" fillId="0" borderId="17" xfId="0" applyBorder="1" applyAlignment="1">
      <alignment horizontal="centerContinuous"/>
    </xf>
    <xf numFmtId="0" fontId="0" fillId="0" borderId="73" xfId="0" applyBorder="1" applyAlignment="1">
      <alignment horizontal="centerContinuous"/>
    </xf>
    <xf numFmtId="0" fontId="0" fillId="0" borderId="74" xfId="0" applyBorder="1"/>
    <xf numFmtId="164" fontId="0" fillId="0" borderId="44" xfId="28" applyNumberFormat="1" applyFont="1" applyBorder="1"/>
    <xf numFmtId="164" fontId="7" fillId="0" borderId="45" xfId="28" applyNumberFormat="1" applyFont="1" applyBorder="1"/>
    <xf numFmtId="0" fontId="0" fillId="0" borderId="63" xfId="0" applyBorder="1"/>
    <xf numFmtId="0" fontId="0" fillId="0" borderId="61" xfId="0" applyBorder="1" applyAlignment="1">
      <alignment horizontal="centerContinuous"/>
    </xf>
    <xf numFmtId="164" fontId="0" fillId="0" borderId="47" xfId="28" applyNumberFormat="1" applyFont="1" applyBorder="1"/>
    <xf numFmtId="164" fontId="3" fillId="0" borderId="44" xfId="28" applyNumberFormat="1" applyFont="1" applyFill="1" applyBorder="1"/>
    <xf numFmtId="164" fontId="10" fillId="0" borderId="24" xfId="0" applyNumberFormat="1" applyFont="1" applyBorder="1"/>
    <xf numFmtId="164" fontId="7" fillId="0" borderId="50" xfId="0" applyNumberFormat="1" applyFont="1" applyBorder="1"/>
    <xf numFmtId="0" fontId="10" fillId="0" borderId="24" xfId="0" applyFont="1" applyBorder="1"/>
    <xf numFmtId="164" fontId="10" fillId="0" borderId="24" xfId="28" applyNumberFormat="1" applyFont="1" applyFill="1" applyBorder="1"/>
    <xf numFmtId="164" fontId="3" fillId="0" borderId="50" xfId="0" applyNumberFormat="1" applyFont="1" applyBorder="1"/>
    <xf numFmtId="164" fontId="7" fillId="0" borderId="24" xfId="0" applyNumberFormat="1" applyFont="1" applyBorder="1"/>
    <xf numFmtId="164" fontId="7" fillId="0" borderId="39" xfId="0" applyNumberFormat="1" applyFont="1" applyBorder="1"/>
    <xf numFmtId="164" fontId="0" fillId="0" borderId="45" xfId="28" applyNumberFormat="1" applyFont="1" applyFill="1" applyBorder="1"/>
    <xf numFmtId="0" fontId="7" fillId="0" borderId="27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3" fontId="7" fillId="0" borderId="78" xfId="0" applyNumberFormat="1" applyFont="1" applyBorder="1"/>
    <xf numFmtId="3" fontId="7" fillId="0" borderId="79" xfId="0" applyNumberFormat="1" applyFont="1" applyBorder="1"/>
    <xf numFmtId="3" fontId="7" fillId="0" borderId="75" xfId="0" applyNumberFormat="1" applyFont="1" applyBorder="1"/>
    <xf numFmtId="0" fontId="7" fillId="0" borderId="80" xfId="0" applyFont="1" applyBorder="1" applyAlignment="1">
      <alignment horizontal="center"/>
    </xf>
    <xf numFmtId="164" fontId="3" fillId="0" borderId="45" xfId="28" applyNumberFormat="1" applyFont="1" applyBorder="1"/>
    <xf numFmtId="164" fontId="3" fillId="0" borderId="47" xfId="0" applyNumberFormat="1" applyFont="1" applyBorder="1"/>
    <xf numFmtId="0" fontId="7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right" vertical="top" wrapText="1"/>
    </xf>
    <xf numFmtId="164" fontId="13" fillId="0" borderId="0" xfId="28" applyNumberFormat="1" applyFont="1" applyBorder="1" applyAlignment="1">
      <alignment horizontal="right" vertical="top" wrapText="1"/>
    </xf>
    <xf numFmtId="164" fontId="10" fillId="0" borderId="0" xfId="28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1" fillId="0" borderId="54" xfId="0" applyFont="1" applyBorder="1" applyAlignment="1">
      <alignment horizontal="center" vertical="top" wrapText="1"/>
    </xf>
    <xf numFmtId="0" fontId="11" fillId="0" borderId="42" xfId="0" applyFont="1" applyBorder="1" applyAlignment="1">
      <alignment horizontal="center" vertical="top" wrapText="1"/>
    </xf>
    <xf numFmtId="0" fontId="11" fillId="0" borderId="43" xfId="0" applyFont="1" applyBorder="1" applyAlignment="1">
      <alignment horizontal="center" vertical="top" wrapText="1"/>
    </xf>
  </cellXfs>
  <cellStyles count="101">
    <cellStyle name="20% - Accent1" xfId="1" builtinId="30" customBuiltin="1"/>
    <cellStyle name="20% - Accent1 2" xfId="51" xr:uid="{00000000-0005-0000-0000-000001000000}"/>
    <cellStyle name="20% - Accent2" xfId="2" builtinId="34" customBuiltin="1"/>
    <cellStyle name="20% - Accent2 2" xfId="52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4" xr:uid="{00000000-0005-0000-0000-000007000000}"/>
    <cellStyle name="20% - Accent5" xfId="5" builtinId="46" customBuiltin="1"/>
    <cellStyle name="20% - Accent5 2" xfId="55" xr:uid="{00000000-0005-0000-0000-000009000000}"/>
    <cellStyle name="20% - Accent6" xfId="6" builtinId="50" customBuiltin="1"/>
    <cellStyle name="20% - Accent6 2" xfId="56" xr:uid="{00000000-0005-0000-0000-00000B000000}"/>
    <cellStyle name="40% - Accent1" xfId="7" builtinId="31" customBuiltin="1"/>
    <cellStyle name="40% - Accent1 2" xfId="57" xr:uid="{00000000-0005-0000-0000-00000D000000}"/>
    <cellStyle name="40% - Accent2" xfId="8" builtinId="35" customBuiltin="1"/>
    <cellStyle name="40% - Accent2 2" xfId="58" xr:uid="{00000000-0005-0000-0000-00000F000000}"/>
    <cellStyle name="40% - Accent3" xfId="9" builtinId="39" customBuiltin="1"/>
    <cellStyle name="40% - Accent3 2" xfId="59" xr:uid="{00000000-0005-0000-0000-000011000000}"/>
    <cellStyle name="40% - Accent4" xfId="10" builtinId="43" customBuiltin="1"/>
    <cellStyle name="40% - Accent4 2" xfId="60" xr:uid="{00000000-0005-0000-0000-000013000000}"/>
    <cellStyle name="40% - Accent5" xfId="11" builtinId="47" customBuiltin="1"/>
    <cellStyle name="40% - Accent5 2" xfId="61" xr:uid="{00000000-0005-0000-0000-000015000000}"/>
    <cellStyle name="40% - Accent6" xfId="12" builtinId="51" customBuiltin="1"/>
    <cellStyle name="40% - Accent6 2" xfId="62" xr:uid="{00000000-0005-0000-0000-000017000000}"/>
    <cellStyle name="60% - Accent1" xfId="13" builtinId="32" customBuiltin="1"/>
    <cellStyle name="60% - Accent1 2" xfId="63" xr:uid="{00000000-0005-0000-0000-000019000000}"/>
    <cellStyle name="60% - Accent2" xfId="14" builtinId="36" customBuiltin="1"/>
    <cellStyle name="60% - Accent2 2" xfId="64" xr:uid="{00000000-0005-0000-0000-00001B000000}"/>
    <cellStyle name="60% - Accent3" xfId="15" builtinId="40" customBuiltin="1"/>
    <cellStyle name="60% - Accent3 2" xfId="65" xr:uid="{00000000-0005-0000-0000-00001D000000}"/>
    <cellStyle name="60% - Accent4" xfId="16" builtinId="44" customBuiltin="1"/>
    <cellStyle name="60% - Accent4 2" xfId="66" xr:uid="{00000000-0005-0000-0000-00001F000000}"/>
    <cellStyle name="60% - Accent5" xfId="17" builtinId="48" customBuiltin="1"/>
    <cellStyle name="60% - Accent5 2" xfId="67" xr:uid="{00000000-0005-0000-0000-000021000000}"/>
    <cellStyle name="60% - Accent6" xfId="18" builtinId="52" customBuiltin="1"/>
    <cellStyle name="60% - Accent6 2" xfId="68" xr:uid="{00000000-0005-0000-0000-000023000000}"/>
    <cellStyle name="Accent1" xfId="19" builtinId="29" customBuiltin="1"/>
    <cellStyle name="Accent1 2" xfId="69" xr:uid="{00000000-0005-0000-0000-000025000000}"/>
    <cellStyle name="Accent2" xfId="20" builtinId="33" customBuiltin="1"/>
    <cellStyle name="Accent2 2" xfId="70" xr:uid="{00000000-0005-0000-0000-000027000000}"/>
    <cellStyle name="Accent3" xfId="21" builtinId="37" customBuiltin="1"/>
    <cellStyle name="Accent3 2" xfId="71" xr:uid="{00000000-0005-0000-0000-000029000000}"/>
    <cellStyle name="Accent4" xfId="22" builtinId="41" customBuiltin="1"/>
    <cellStyle name="Accent4 2" xfId="72" xr:uid="{00000000-0005-0000-0000-00002B000000}"/>
    <cellStyle name="Accent5" xfId="23" builtinId="45" customBuiltin="1"/>
    <cellStyle name="Accent5 2" xfId="73" xr:uid="{00000000-0005-0000-0000-00002D000000}"/>
    <cellStyle name="Accent6" xfId="24" builtinId="49" customBuiltin="1"/>
    <cellStyle name="Accent6 2" xfId="74" xr:uid="{00000000-0005-0000-0000-00002F000000}"/>
    <cellStyle name="Bad" xfId="25" builtinId="27" customBuiltin="1"/>
    <cellStyle name="Bad 2" xfId="75" xr:uid="{00000000-0005-0000-0000-000031000000}"/>
    <cellStyle name="Calculation" xfId="26" builtinId="22" customBuiltin="1"/>
    <cellStyle name="Calculation 2" xfId="76" xr:uid="{00000000-0005-0000-0000-000033000000}"/>
    <cellStyle name="Check Cell" xfId="27" builtinId="23" customBuiltin="1"/>
    <cellStyle name="Check Cell 2" xfId="77" xr:uid="{00000000-0005-0000-0000-000035000000}"/>
    <cellStyle name="Comma" xfId="28" builtinId="3"/>
    <cellStyle name="Date" xfId="29" xr:uid="{00000000-0005-0000-0000-000037000000}"/>
    <cellStyle name="Explanatory Text" xfId="30" builtinId="53" customBuiltin="1"/>
    <cellStyle name="Explanatory Text 2" xfId="78" xr:uid="{00000000-0005-0000-0000-000039000000}"/>
    <cellStyle name="Fixed" xfId="31" xr:uid="{00000000-0005-0000-0000-00003A000000}"/>
    <cellStyle name="Good" xfId="32" builtinId="26" customBuiltin="1"/>
    <cellStyle name="Good 2" xfId="79" xr:uid="{00000000-0005-0000-0000-00003C000000}"/>
    <cellStyle name="Heading 1" xfId="33" builtinId="16" customBuiltin="1"/>
    <cellStyle name="Heading 1 2" xfId="80" xr:uid="{00000000-0005-0000-0000-00003E000000}"/>
    <cellStyle name="Heading 2" xfId="34" builtinId="17" customBuiltin="1"/>
    <cellStyle name="Heading 2 2" xfId="81" xr:uid="{00000000-0005-0000-0000-000040000000}"/>
    <cellStyle name="Heading 3" xfId="35" builtinId="18" customBuiltin="1"/>
    <cellStyle name="Heading 3 2" xfId="82" xr:uid="{00000000-0005-0000-0000-000042000000}"/>
    <cellStyle name="Heading 4" xfId="36" builtinId="19" customBuiltin="1"/>
    <cellStyle name="Heading 4 2" xfId="83" xr:uid="{00000000-0005-0000-0000-000044000000}"/>
    <cellStyle name="HEADING1" xfId="37" xr:uid="{00000000-0005-0000-0000-000045000000}"/>
    <cellStyle name="HEADING2" xfId="38" xr:uid="{00000000-0005-0000-0000-000046000000}"/>
    <cellStyle name="Input" xfId="39" builtinId="20" customBuiltin="1"/>
    <cellStyle name="Input 2" xfId="84" xr:uid="{00000000-0005-0000-0000-000048000000}"/>
    <cellStyle name="Linked Cell" xfId="40" builtinId="24" customBuiltin="1"/>
    <cellStyle name="Linked Cell 2" xfId="85" xr:uid="{00000000-0005-0000-0000-00004A000000}"/>
    <cellStyle name="Neutral" xfId="41" builtinId="28" customBuiltin="1"/>
    <cellStyle name="Neutral 2" xfId="86" xr:uid="{00000000-0005-0000-0000-00004C000000}"/>
    <cellStyle name="Normal" xfId="0" builtinId="0"/>
    <cellStyle name="Normal 10" xfId="100" xr:uid="{00000000-0005-0000-0000-00004E000000}"/>
    <cellStyle name="Normal 2" xfId="42" xr:uid="{00000000-0005-0000-0000-00004F000000}"/>
    <cellStyle name="Normal 2 2" xfId="49" xr:uid="{00000000-0005-0000-0000-000050000000}"/>
    <cellStyle name="Normal 2 2 2" xfId="88" xr:uid="{00000000-0005-0000-0000-000051000000}"/>
    <cellStyle name="Normal 2 3" xfId="87" xr:uid="{00000000-0005-0000-0000-000052000000}"/>
    <cellStyle name="Normal 3" xfId="48" xr:uid="{00000000-0005-0000-0000-000053000000}"/>
    <cellStyle name="Normal 3 2" xfId="89" xr:uid="{00000000-0005-0000-0000-000054000000}"/>
    <cellStyle name="Normal 4" xfId="90" xr:uid="{00000000-0005-0000-0000-000055000000}"/>
    <cellStyle name="Normal 5" xfId="91" xr:uid="{00000000-0005-0000-0000-000056000000}"/>
    <cellStyle name="Normal 6" xfId="92" xr:uid="{00000000-0005-0000-0000-000057000000}"/>
    <cellStyle name="Normal 7" xfId="93" xr:uid="{00000000-0005-0000-0000-000058000000}"/>
    <cellStyle name="Normal 8" xfId="94" xr:uid="{00000000-0005-0000-0000-000059000000}"/>
    <cellStyle name="Normal 9" xfId="50" xr:uid="{00000000-0005-0000-0000-00005A000000}"/>
    <cellStyle name="Note" xfId="43" builtinId="10" customBuiltin="1"/>
    <cellStyle name="Note 2" xfId="95" xr:uid="{00000000-0005-0000-0000-00005C000000}"/>
    <cellStyle name="Output" xfId="44" builtinId="21" customBuiltin="1"/>
    <cellStyle name="Output 2" xfId="96" xr:uid="{00000000-0005-0000-0000-00005E000000}"/>
    <cellStyle name="Title" xfId="45" builtinId="15" customBuiltin="1"/>
    <cellStyle name="Title 2" xfId="97" xr:uid="{00000000-0005-0000-0000-000060000000}"/>
    <cellStyle name="Total" xfId="46" builtinId="25" customBuiltin="1"/>
    <cellStyle name="Total 2" xfId="98" xr:uid="{00000000-0005-0000-0000-000062000000}"/>
    <cellStyle name="Warning Text" xfId="47" builtinId="11" customBuiltin="1"/>
    <cellStyle name="Warning Text 2" xfId="99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 </a:t>
            </a:r>
          </a:p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Fall 2019 to Fall 2023</a:t>
            </a:r>
          </a:p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319763600978447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4160977904819"/>
          <c:y val="0.30234562784915042"/>
          <c:w val="0.78401490755026892"/>
          <c:h val="0.4747490357646641"/>
        </c:manualLayout>
      </c:layout>
      <c:lineChart>
        <c:grouping val="stacked"/>
        <c:varyColors val="0"/>
        <c:ser>
          <c:idx val="1"/>
          <c:order val="1"/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enrollcoll!$AA$4:$AE$4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enrollcoll!$AA$62:$AE$62</c:f>
              <c:numCache>
                <c:formatCode>_(* #,##0_);_(* \(#,##0\);_(* "-"??_);_(@_)</c:formatCode>
                <c:ptCount val="5"/>
                <c:pt idx="0">
                  <c:v>16257</c:v>
                </c:pt>
                <c:pt idx="1">
                  <c:v>15619</c:v>
                </c:pt>
                <c:pt idx="2">
                  <c:v>15046</c:v>
                </c:pt>
                <c:pt idx="3">
                  <c:v>15113</c:v>
                </c:pt>
                <c:pt idx="4">
                  <c:v>15650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0-452A-BC15-7A20F2D98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22496"/>
        <c:axId val="2184228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cat>
                  <c:numRef>
                    <c:extLst>
                      <c:ext uri="{02D57815-91ED-43cb-92C2-25804820EDAC}">
                        <c15:formulaRef>
                          <c15:sqref>enrollcoll!$AA$4:$AE$4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enrollcoll!$AA$4:$AE$4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E5D-4369-AB5A-DBEE04044F69}"/>
                  </c:ext>
                </c:extLst>
              </c15:ser>
            </c15:filteredLineSeries>
          </c:ext>
        </c:extLst>
      </c:lineChart>
      <c:catAx>
        <c:axId val="21842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6428642848215401"/>
              <c:y val="0.85522168314819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42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422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1.5306122448979591E-2"/>
              <c:y val="0.4074088213720759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422496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Graduate Enrollment</a:t>
            </a:r>
            <a:endParaRPr lang="en-US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Fall 2019 to Fall 2023</a:t>
            </a:r>
          </a:p>
          <a:p>
            <a:pPr>
              <a:defRPr sz="1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472660812686373"/>
          <c:y val="7.5946367553112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09671409103062"/>
          <c:y val="0.26925016890931935"/>
          <c:w val="0.78708685626441199"/>
          <c:h val="0.599057293651991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enrollcoll!$A$63</c:f>
              <c:strCache>
                <c:ptCount val="1"/>
                <c:pt idx="0">
                  <c:v>Masters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  <a:effectLst>
              <a:outerShdw sx="1000" sy="1000" algn="ctr" rotWithShape="0">
                <a:srgbClr val="000000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vert="horz" lIns="38100" tIns="19050" rIns="38100" bIns="19050">
                <a:spAutoFit/>
              </a:bodyPr>
              <a:lstStyle/>
              <a:p>
                <a:pPr>
                  <a:defRPr sz="1200" b="1" i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enrollcoll!$AA$4:$AE$4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enrollcoll!$AA$63:$AE$63</c:f>
              <c:numCache>
                <c:formatCode>_(* #,##0_);_(* \(#,##0\);_(* "-"??_);_(@_)</c:formatCode>
                <c:ptCount val="5"/>
                <c:pt idx="0">
                  <c:v>2816</c:v>
                </c:pt>
                <c:pt idx="1">
                  <c:v>2783</c:v>
                </c:pt>
                <c:pt idx="2">
                  <c:v>2859</c:v>
                </c:pt>
                <c:pt idx="3">
                  <c:v>2841</c:v>
                </c:pt>
                <c:pt idx="4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5-4F70-8B85-F693EDC2C6C1}"/>
            </c:ext>
          </c:extLst>
        </c:ser>
        <c:ser>
          <c:idx val="0"/>
          <c:order val="1"/>
          <c:tx>
            <c:strRef>
              <c:f>enrollcoll!$A$65</c:f>
              <c:strCache>
                <c:ptCount val="1"/>
                <c:pt idx="0">
                  <c:v>PhD/EdD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enrollcoll!$AA$4:$AE$4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enrollcoll!$AA$65:$AE$65</c:f>
              <c:numCache>
                <c:formatCode>_(* #,##0_);_(* \(#,##0\);_(* "-"??_);_(@_)</c:formatCode>
                <c:ptCount val="5"/>
                <c:pt idx="0">
                  <c:v>1304</c:v>
                </c:pt>
                <c:pt idx="1">
                  <c:v>1351</c:v>
                </c:pt>
                <c:pt idx="2">
                  <c:v>1337</c:v>
                </c:pt>
                <c:pt idx="3">
                  <c:v>1315</c:v>
                </c:pt>
                <c:pt idx="4">
                  <c:v>1324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84-44B0-B103-45D3BBE379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1"/>
        <c:overlap val="100"/>
        <c:axId val="219943496"/>
        <c:axId val="2199561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enrollcoll!#REF!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40000"/>
                      <a:lumOff val="60000"/>
                    </a:schemeClr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2700000" wrap="square" lIns="38100" tIns="19050" rIns="38100" bIns="19050" anchor="ctr" anchorCtr="0">
                      <a:spAutoFit/>
                    </a:bodyPr>
                    <a:lstStyle/>
                    <a:p>
                      <a:pPr algn="ctr">
                        <a:defRPr lang="en-US" sz="1200" b="1" i="0" u="none" strike="noStrike" kern="1200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enrollcoll!$AA$4:$AE$4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enrollcoll!#REF!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484-44B0-B103-45D3BBE379BD}"/>
                  </c:ext>
                </c:extLst>
              </c15:ser>
            </c15:filteredBarSeries>
          </c:ext>
        </c:extLst>
      </c:barChart>
      <c:catAx>
        <c:axId val="219943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2098180135859981"/>
              <c:y val="0.93887312435002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956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956168"/>
        <c:scaling>
          <c:orientation val="minMax"/>
          <c:max val="5000"/>
          <c:min val="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2.7923211169284468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943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1000394778148523"/>
          <c:y val="0.22006326995813574"/>
          <c:w val="0.28999605221851482"/>
          <c:h val="5.5083002355258912E-2"/>
        </c:manualLayout>
      </c:layout>
      <c:overlay val="0"/>
      <c:spPr>
        <a:effectLst>
          <a:outerShdw sx="1000" sy="1000" algn="ctr" rotWithShape="0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University Enrollment</a:t>
            </a:r>
            <a:r>
              <a:rPr lang="en-US" sz="11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3266538238539660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57813544647275"/>
          <c:y val="0.16836676372810622"/>
          <c:w val="0.8076160207289782"/>
          <c:h val="0.651065655398075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Demo_data!$B$72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268929152546484E-2"/>
                  <c:y val="-2.557669203171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15-49EB-9738-C1B68378CD64}"/>
                </c:ext>
              </c:extLst>
            </c:dLbl>
            <c:dLbl>
              <c:idx val="1"/>
              <c:layout>
                <c:manualLayout>
                  <c:x val="1.4353613330234038E-3"/>
                  <c:y val="-2.0828497860882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5-49EB-9738-C1B68378CD64}"/>
                </c:ext>
              </c:extLst>
            </c:dLbl>
            <c:dLbl>
              <c:idx val="2"/>
              <c:layout>
                <c:manualLayout>
                  <c:x val="-3.112039540488771E-3"/>
                  <c:y val="-1.224389579548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15-49EB-9738-C1B68378CD64}"/>
                </c:ext>
              </c:extLst>
            </c:dLbl>
            <c:dLbl>
              <c:idx val="3"/>
              <c:layout>
                <c:manualLayout>
                  <c:x val="-2.8902971653678173E-4"/>
                  <c:y val="-1.3316171802018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5-49EB-9738-C1B68378CD64}"/>
                </c:ext>
              </c:extLst>
            </c:dLbl>
            <c:dLbl>
              <c:idx val="4"/>
              <c:layout>
                <c:manualLayout>
                  <c:x val="1.5740128029055611E-3"/>
                  <c:y val="0.148325793933757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15-49EB-9738-C1B68378CD64}"/>
                </c:ext>
              </c:extLst>
            </c:dLbl>
            <c:dLbl>
              <c:idx val="5"/>
              <c:layout>
                <c:manualLayout>
                  <c:x val="0"/>
                  <c:y val="0.215285578802483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15-49EB-9738-C1B68378CD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Demo_data!$AC$4:$AF$4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Demo_data!$AC$72:$AF$72</c:f>
              <c:numCache>
                <c:formatCode>#,##0</c:formatCode>
                <c:ptCount val="4"/>
                <c:pt idx="0">
                  <c:v>9647</c:v>
                </c:pt>
                <c:pt idx="1">
                  <c:v>9287</c:v>
                </c:pt>
                <c:pt idx="2">
                  <c:v>9262</c:v>
                </c:pt>
                <c:pt idx="3" formatCode="_(* #,##0_);_(* \(#,##0\);_(* &quot;-&quot;??_);_(@_)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15-49EB-9738-C1B68378CD64}"/>
            </c:ext>
          </c:extLst>
        </c:ser>
        <c:ser>
          <c:idx val="1"/>
          <c:order val="1"/>
          <c:tx>
            <c:strRef>
              <c:f>Demo_data!$B$73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072731499039626E-2"/>
                  <c:y val="-1.6775332920280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15-49EB-9738-C1B68378CD64}"/>
                </c:ext>
              </c:extLst>
            </c:dLbl>
            <c:dLbl>
              <c:idx val="1"/>
              <c:layout>
                <c:manualLayout>
                  <c:x val="1.3645261136054933E-2"/>
                  <c:y val="-1.0569623450171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15-49EB-9738-C1B68378CD64}"/>
                </c:ext>
              </c:extLst>
            </c:dLbl>
            <c:dLbl>
              <c:idx val="2"/>
              <c:layout>
                <c:manualLayout>
                  <c:x val="1.1225669509047088E-2"/>
                  <c:y val="-1.403485888093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15-49EB-9738-C1B68378CD64}"/>
                </c:ext>
              </c:extLst>
            </c:dLbl>
            <c:dLbl>
              <c:idx val="3"/>
              <c:layout>
                <c:manualLayout>
                  <c:x val="1.2566828564088134E-2"/>
                  <c:y val="-1.0742581506084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15-49EB-9738-C1B68378CD64}"/>
                </c:ext>
              </c:extLst>
            </c:dLbl>
            <c:dLbl>
              <c:idx val="4"/>
              <c:layout>
                <c:manualLayout>
                  <c:x val="6.2628989104342378E-3"/>
                  <c:y val="0.145965058378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15-49EB-9738-C1B68378CD64}"/>
                </c:ext>
              </c:extLst>
            </c:dLbl>
            <c:dLbl>
              <c:idx val="5"/>
              <c:layout>
                <c:manualLayout>
                  <c:x val="5.4757015742642025E-3"/>
                  <c:y val="0.13455348675155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15-49EB-9738-C1B68378CD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Demo_data!$AC$4:$AF$4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Demo_data!$AC$73:$AF$73</c:f>
              <c:numCache>
                <c:formatCode>#,##0</c:formatCode>
                <c:ptCount val="4"/>
                <c:pt idx="0">
                  <c:v>10582</c:v>
                </c:pt>
                <c:pt idx="1">
                  <c:v>10435</c:v>
                </c:pt>
                <c:pt idx="2">
                  <c:v>10483</c:v>
                </c:pt>
                <c:pt idx="3" formatCode="_(* #,##0_);_(* \(#,##0\);_(* &quot;-&quot;??_);_(@_)">
                  <c:v>10903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15-49EB-9738-C1B68378C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730944"/>
        <c:axId val="220049280"/>
        <c:axId val="0"/>
      </c:bar3DChart>
      <c:catAx>
        <c:axId val="21873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1667557745685552"/>
              <c:y val="0.83993182025709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0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049280"/>
        <c:scaling>
          <c:orientation val="minMax"/>
          <c:max val="12000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9.9658800408149641E-3"/>
              <c:y val="0.3748987065005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730944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822254527200472"/>
          <c:y val="0.89724196010984902"/>
          <c:w val="0.38308526486348404"/>
          <c:h val="5.899735984329390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9</xdr:col>
      <xdr:colOff>0</xdr:colOff>
      <xdr:row>19</xdr:row>
      <xdr:rowOff>85725</xdr:rowOff>
    </xdr:to>
    <xdr:graphicFrame macro="">
      <xdr:nvGraphicFramePr>
        <xdr:cNvPr id="4549" name="Chart 1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40217</xdr:rowOff>
    </xdr:from>
    <xdr:to>
      <xdr:col>8</xdr:col>
      <xdr:colOff>581025</xdr:colOff>
      <xdr:row>47</xdr:row>
      <xdr:rowOff>30692</xdr:rowOff>
    </xdr:to>
    <xdr:graphicFrame macro="">
      <xdr:nvGraphicFramePr>
        <xdr:cNvPr id="4550" name="Chart 2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207065</xdr:colOff>
      <xdr:row>104</xdr:row>
      <xdr:rowOff>24849</xdr:rowOff>
    </xdr:from>
    <xdr:to>
      <xdr:col>30</xdr:col>
      <xdr:colOff>266700</xdr:colOff>
      <xdr:row>123</xdr:row>
      <xdr:rowOff>76200</xdr:rowOff>
    </xdr:to>
    <xdr:graphicFrame macro="">
      <xdr:nvGraphicFramePr>
        <xdr:cNvPr id="1251" name="Chart 1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552A-7C35-4ADA-903E-C878B45CC1FD}">
  <sheetPr>
    <tabColor indexed="11"/>
  </sheetPr>
  <dimension ref="A1:AJ68"/>
  <sheetViews>
    <sheetView topLeftCell="A26" workbookViewId="0">
      <selection activeCell="AB40" sqref="AB40"/>
    </sheetView>
  </sheetViews>
  <sheetFormatPr defaultRowHeight="12.75" x14ac:dyDescent="0.2"/>
  <cols>
    <col min="1" max="1" width="24.7109375" customWidth="1"/>
    <col min="2" max="26" width="0" hidden="1" customWidth="1"/>
    <col min="27" max="31" width="10" customWidth="1"/>
  </cols>
  <sheetData>
    <row r="1" spans="1:31" ht="13.5" thickBot="1" x14ac:dyDescent="0.25"/>
    <row r="2" spans="1:31" ht="23.25" thickTop="1" thickBot="1" x14ac:dyDescent="0.35">
      <c r="A2" s="149" t="s">
        <v>43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29"/>
      <c r="W2" s="129"/>
      <c r="X2" s="129"/>
      <c r="Y2" s="129"/>
      <c r="Z2" s="129"/>
      <c r="AA2" s="149"/>
      <c r="AB2" s="149"/>
      <c r="AC2" s="189"/>
      <c r="AD2" s="190"/>
      <c r="AE2" s="191"/>
    </row>
    <row r="3" spans="1:31" ht="15.75" x14ac:dyDescent="0.25">
      <c r="A3" s="151" t="s">
        <v>2</v>
      </c>
      <c r="B3" s="152"/>
      <c r="C3" s="152"/>
      <c r="D3" s="153" t="s">
        <v>2</v>
      </c>
      <c r="E3" s="152"/>
      <c r="F3" s="152"/>
      <c r="G3" s="152"/>
      <c r="H3" s="152"/>
      <c r="I3" s="152"/>
      <c r="J3" s="152"/>
      <c r="K3" s="152"/>
      <c r="L3" s="153"/>
      <c r="M3" s="152"/>
      <c r="N3" s="152"/>
      <c r="O3" s="152"/>
      <c r="P3" s="152"/>
      <c r="Q3" s="152"/>
      <c r="R3" s="152"/>
      <c r="S3" s="152"/>
      <c r="T3" s="154"/>
      <c r="U3" s="154"/>
      <c r="V3" s="155"/>
      <c r="W3" s="154"/>
      <c r="X3" s="154"/>
      <c r="Y3" s="154"/>
      <c r="Z3" s="154"/>
      <c r="AA3" s="154"/>
      <c r="AB3" s="154"/>
      <c r="AC3" s="154"/>
      <c r="AD3" s="129"/>
      <c r="AE3" s="78"/>
    </row>
    <row r="4" spans="1:31" ht="13.5" thickBot="1" x14ac:dyDescent="0.25">
      <c r="A4" s="79"/>
      <c r="B4" s="80">
        <v>1990</v>
      </c>
      <c r="C4" s="80" t="s">
        <v>5</v>
      </c>
      <c r="D4" s="81" t="s">
        <v>6</v>
      </c>
      <c r="E4" s="82" t="s">
        <v>7</v>
      </c>
      <c r="F4" s="83" t="s">
        <v>8</v>
      </c>
      <c r="G4" s="84" t="s">
        <v>9</v>
      </c>
      <c r="H4" s="84">
        <v>1996</v>
      </c>
      <c r="I4" s="76">
        <v>1997</v>
      </c>
      <c r="J4" s="80">
        <v>1998</v>
      </c>
      <c r="K4" s="81">
        <v>1999</v>
      </c>
      <c r="L4" s="81">
        <v>2000</v>
      </c>
      <c r="M4" s="85">
        <v>2001</v>
      </c>
      <c r="N4" s="85">
        <v>2002</v>
      </c>
      <c r="O4" s="85">
        <v>2003</v>
      </c>
      <c r="P4" s="85">
        <v>2004</v>
      </c>
      <c r="Q4" s="85">
        <v>2005</v>
      </c>
      <c r="R4" s="85">
        <v>2006</v>
      </c>
      <c r="S4" s="85">
        <v>2007</v>
      </c>
      <c r="T4" s="85">
        <v>2008</v>
      </c>
      <c r="U4" s="85">
        <v>2009</v>
      </c>
      <c r="V4" s="85">
        <v>2010</v>
      </c>
      <c r="W4" s="85">
        <v>2011</v>
      </c>
      <c r="X4" s="85">
        <v>2012</v>
      </c>
      <c r="Y4" s="85">
        <v>2013</v>
      </c>
      <c r="Z4" s="85">
        <v>2014</v>
      </c>
      <c r="AA4" s="85">
        <v>2020</v>
      </c>
      <c r="AB4" s="85">
        <v>2021</v>
      </c>
      <c r="AC4" s="85">
        <v>2022</v>
      </c>
      <c r="AD4" s="85">
        <v>2023</v>
      </c>
      <c r="AE4" s="215">
        <v>2024</v>
      </c>
    </row>
    <row r="5" spans="1:31" x14ac:dyDescent="0.2">
      <c r="A5" s="141" t="s">
        <v>28</v>
      </c>
      <c r="B5" s="73"/>
      <c r="C5" s="73"/>
      <c r="D5" s="73"/>
      <c r="E5" s="74"/>
      <c r="F5" s="86"/>
      <c r="G5" s="86"/>
      <c r="H5" s="86"/>
      <c r="I5" s="87"/>
      <c r="J5" s="73"/>
      <c r="K5" s="73"/>
      <c r="L5" s="68"/>
      <c r="M5" s="68"/>
      <c r="N5" s="69"/>
      <c r="O5" s="74"/>
      <c r="P5" s="74"/>
      <c r="Q5" s="103"/>
      <c r="R5" s="69"/>
      <c r="S5" s="103"/>
      <c r="T5" s="74"/>
      <c r="U5" s="74"/>
      <c r="V5" s="74"/>
      <c r="W5" s="74"/>
      <c r="X5" s="74"/>
      <c r="Y5" s="74"/>
      <c r="Z5" s="74"/>
      <c r="AA5" s="74"/>
      <c r="AB5" s="74"/>
      <c r="AC5" s="74"/>
      <c r="AD5" s="86"/>
      <c r="AE5" s="78"/>
    </row>
    <row r="6" spans="1:31" x14ac:dyDescent="0.2">
      <c r="A6" s="142" t="s">
        <v>10</v>
      </c>
      <c r="B6" s="57">
        <v>1440</v>
      </c>
      <c r="C6" s="57">
        <v>1543</v>
      </c>
      <c r="D6" s="57">
        <v>1639</v>
      </c>
      <c r="E6" s="29">
        <v>1730</v>
      </c>
      <c r="F6" s="88">
        <v>1771</v>
      </c>
      <c r="G6" s="88">
        <v>1879</v>
      </c>
      <c r="H6" s="88">
        <v>1898</v>
      </c>
      <c r="I6" s="28">
        <v>1976</v>
      </c>
      <c r="J6" s="57">
        <v>2074</v>
      </c>
      <c r="K6" s="57">
        <v>2022</v>
      </c>
      <c r="L6" s="57">
        <v>2004</v>
      </c>
      <c r="M6" s="57">
        <v>1974</v>
      </c>
      <c r="N6" s="29">
        <v>1840</v>
      </c>
      <c r="O6" s="29">
        <v>1878</v>
      </c>
      <c r="P6" s="29">
        <v>1863</v>
      </c>
      <c r="Q6" s="28">
        <v>1874</v>
      </c>
      <c r="R6" s="29">
        <v>1936</v>
      </c>
      <c r="S6" s="28">
        <v>1878</v>
      </c>
      <c r="T6" s="29">
        <v>1968</v>
      </c>
      <c r="U6" s="29">
        <v>2087</v>
      </c>
      <c r="V6" s="29">
        <v>2255</v>
      </c>
      <c r="W6" s="29">
        <v>2375</v>
      </c>
      <c r="X6" s="29">
        <v>2525</v>
      </c>
      <c r="Y6" s="29">
        <v>2680</v>
      </c>
      <c r="Z6" s="29">
        <v>2780</v>
      </c>
      <c r="AA6" s="29">
        <v>2161</v>
      </c>
      <c r="AB6" s="29">
        <v>2066</v>
      </c>
      <c r="AC6" s="29">
        <v>1911</v>
      </c>
      <c r="AD6" s="88">
        <v>1924</v>
      </c>
      <c r="AE6" s="192">
        <v>2055</v>
      </c>
    </row>
    <row r="7" spans="1:31" x14ac:dyDescent="0.2">
      <c r="A7" s="142" t="s">
        <v>35</v>
      </c>
      <c r="B7" s="57">
        <v>190</v>
      </c>
      <c r="C7" s="57">
        <v>209</v>
      </c>
      <c r="D7" s="57">
        <v>219</v>
      </c>
      <c r="E7" s="29">
        <v>237</v>
      </c>
      <c r="F7" s="88">
        <v>217</v>
      </c>
      <c r="G7" s="88">
        <v>199</v>
      </c>
      <c r="H7" s="88">
        <v>213</v>
      </c>
      <c r="I7" s="28">
        <v>217</v>
      </c>
      <c r="J7" s="57">
        <v>224</v>
      </c>
      <c r="K7" s="57">
        <f>24+29+1+8+5+35+15+12+8+3+9+22+3+5+9+12+8+8+7</f>
        <v>223</v>
      </c>
      <c r="L7" s="107">
        <v>197</v>
      </c>
      <c r="M7" s="107">
        <v>210</v>
      </c>
      <c r="N7" s="108">
        <v>211</v>
      </c>
      <c r="O7" s="108">
        <f>2+33+35+49+19+36+6+11+14+5</f>
        <v>210</v>
      </c>
      <c r="P7" s="108">
        <v>242</v>
      </c>
      <c r="Q7" s="120">
        <v>229</v>
      </c>
      <c r="R7" s="108">
        <v>265</v>
      </c>
      <c r="S7" s="120">
        <v>292</v>
      </c>
      <c r="T7" s="108">
        <v>305</v>
      </c>
      <c r="U7" s="108">
        <v>328</v>
      </c>
      <c r="V7" s="108">
        <v>294</v>
      </c>
      <c r="W7" s="108">
        <v>321</v>
      </c>
      <c r="X7" s="108">
        <v>327</v>
      </c>
      <c r="Y7" s="108">
        <v>373</v>
      </c>
      <c r="Z7" s="108">
        <v>390</v>
      </c>
      <c r="AA7" s="108">
        <v>324</v>
      </c>
      <c r="AB7" s="108">
        <v>354</v>
      </c>
      <c r="AC7" s="108">
        <v>358</v>
      </c>
      <c r="AD7" s="198">
        <v>377</v>
      </c>
      <c r="AE7" s="192">
        <v>355</v>
      </c>
    </row>
    <row r="8" spans="1:31" x14ac:dyDescent="0.2">
      <c r="A8" s="142" t="s">
        <v>36</v>
      </c>
      <c r="B8" s="57">
        <v>196</v>
      </c>
      <c r="C8" s="57">
        <v>181</v>
      </c>
      <c r="D8" s="57">
        <v>206</v>
      </c>
      <c r="E8" s="29">
        <v>201</v>
      </c>
      <c r="F8" s="88">
        <v>203</v>
      </c>
      <c r="G8" s="88">
        <v>192</v>
      </c>
      <c r="H8" s="88">
        <v>169</v>
      </c>
      <c r="I8" s="28">
        <v>185</v>
      </c>
      <c r="J8" s="57">
        <v>174</v>
      </c>
      <c r="K8" s="57">
        <v>202</v>
      </c>
      <c r="L8" s="107">
        <v>205</v>
      </c>
      <c r="M8" s="107">
        <v>199</v>
      </c>
      <c r="N8" s="108">
        <v>201</v>
      </c>
      <c r="O8" s="108">
        <v>187</v>
      </c>
      <c r="P8" s="108">
        <v>176</v>
      </c>
      <c r="Q8" s="120">
        <v>165</v>
      </c>
      <c r="R8" s="108">
        <v>115</v>
      </c>
      <c r="S8" s="120">
        <v>135</v>
      </c>
      <c r="T8" s="108">
        <v>108</v>
      </c>
      <c r="U8" s="108">
        <f>149</f>
        <v>149</v>
      </c>
      <c r="V8" s="108">
        <f>151+22</f>
        <v>173</v>
      </c>
      <c r="W8" s="108">
        <v>151</v>
      </c>
      <c r="X8" s="108">
        <v>155</v>
      </c>
      <c r="Y8" s="108">
        <v>161</v>
      </c>
      <c r="Z8" s="108">
        <v>171</v>
      </c>
      <c r="AA8" s="108">
        <v>175</v>
      </c>
      <c r="AB8" s="108">
        <v>183</v>
      </c>
      <c r="AC8" s="108">
        <v>175</v>
      </c>
      <c r="AD8" s="198">
        <v>173</v>
      </c>
      <c r="AE8" s="192">
        <v>178</v>
      </c>
    </row>
    <row r="9" spans="1:31" ht="13.5" thickBot="1" x14ac:dyDescent="0.25">
      <c r="A9" s="143" t="s">
        <v>44</v>
      </c>
      <c r="B9" s="59">
        <f t="shared" ref="B9:L9" si="0">SUM(B6:B8)</f>
        <v>1826</v>
      </c>
      <c r="C9" s="59">
        <f t="shared" si="0"/>
        <v>1933</v>
      </c>
      <c r="D9" s="59">
        <f t="shared" si="0"/>
        <v>2064</v>
      </c>
      <c r="E9" s="60">
        <f t="shared" si="0"/>
        <v>2168</v>
      </c>
      <c r="F9" s="61">
        <f t="shared" si="0"/>
        <v>2191</v>
      </c>
      <c r="G9" s="61">
        <f t="shared" si="0"/>
        <v>2270</v>
      </c>
      <c r="H9" s="61">
        <f t="shared" si="0"/>
        <v>2280</v>
      </c>
      <c r="I9" s="62">
        <f t="shared" si="0"/>
        <v>2378</v>
      </c>
      <c r="J9" s="59">
        <f t="shared" si="0"/>
        <v>2472</v>
      </c>
      <c r="K9" s="59">
        <f t="shared" si="0"/>
        <v>2447</v>
      </c>
      <c r="L9" s="109">
        <f t="shared" si="0"/>
        <v>2406</v>
      </c>
      <c r="M9" s="109">
        <f t="shared" ref="M9:Z9" si="1">SUM(M6:M8)</f>
        <v>2383</v>
      </c>
      <c r="N9" s="110">
        <f t="shared" si="1"/>
        <v>2252</v>
      </c>
      <c r="O9" s="110">
        <f t="shared" si="1"/>
        <v>2275</v>
      </c>
      <c r="P9" s="110">
        <f t="shared" si="1"/>
        <v>2281</v>
      </c>
      <c r="Q9" s="121">
        <f t="shared" si="1"/>
        <v>2268</v>
      </c>
      <c r="R9" s="110">
        <f t="shared" si="1"/>
        <v>2316</v>
      </c>
      <c r="S9" s="121">
        <f t="shared" si="1"/>
        <v>2305</v>
      </c>
      <c r="T9" s="110">
        <f>SUM(T6:T8)</f>
        <v>2381</v>
      </c>
      <c r="U9" s="110">
        <f t="shared" si="1"/>
        <v>2564</v>
      </c>
      <c r="V9" s="110">
        <f t="shared" si="1"/>
        <v>2722</v>
      </c>
      <c r="W9" s="110">
        <f t="shared" si="1"/>
        <v>2847</v>
      </c>
      <c r="X9" s="110">
        <f t="shared" si="1"/>
        <v>3007</v>
      </c>
      <c r="Y9" s="110">
        <f t="shared" si="1"/>
        <v>3214</v>
      </c>
      <c r="Z9" s="110">
        <f t="shared" si="1"/>
        <v>3341</v>
      </c>
      <c r="AA9" s="110">
        <v>2660</v>
      </c>
      <c r="AB9" s="110">
        <v>2603</v>
      </c>
      <c r="AC9" s="110">
        <v>2444</v>
      </c>
      <c r="AD9" s="199">
        <v>2474</v>
      </c>
      <c r="AE9" s="193">
        <f>SUM(AE6:AE8)</f>
        <v>2588</v>
      </c>
    </row>
    <row r="10" spans="1:31" x14ac:dyDescent="0.2">
      <c r="A10" s="141" t="s">
        <v>30</v>
      </c>
      <c r="B10" s="70"/>
      <c r="C10" s="70"/>
      <c r="D10" s="70"/>
      <c r="E10" s="71"/>
      <c r="F10" s="72"/>
      <c r="G10" s="72"/>
      <c r="H10" s="72"/>
      <c r="I10" s="91"/>
      <c r="J10" s="70"/>
      <c r="K10" s="70"/>
      <c r="L10" s="68"/>
      <c r="M10" s="68"/>
      <c r="N10" s="69"/>
      <c r="O10" s="69"/>
      <c r="P10" s="69"/>
      <c r="Q10" s="103"/>
      <c r="R10" s="69"/>
      <c r="S10" s="103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200"/>
      <c r="AE10" s="192"/>
    </row>
    <row r="11" spans="1:31" x14ac:dyDescent="0.2">
      <c r="A11" s="142" t="s">
        <v>10</v>
      </c>
      <c r="B11" s="57">
        <v>870</v>
      </c>
      <c r="C11" s="57">
        <v>810</v>
      </c>
      <c r="D11" s="57">
        <v>715</v>
      </c>
      <c r="E11" s="29">
        <v>705</v>
      </c>
      <c r="F11" s="88">
        <v>717</v>
      </c>
      <c r="G11" s="88">
        <v>705</v>
      </c>
      <c r="H11" s="88">
        <v>717</v>
      </c>
      <c r="I11" s="28">
        <v>751</v>
      </c>
      <c r="J11" s="57">
        <v>726</v>
      </c>
      <c r="K11" s="57">
        <v>721</v>
      </c>
      <c r="L11" s="31">
        <v>737</v>
      </c>
      <c r="M11" s="31">
        <v>743</v>
      </c>
      <c r="N11" s="125">
        <v>745</v>
      </c>
      <c r="O11" s="32">
        <v>747</v>
      </c>
      <c r="P11" s="32">
        <v>711</v>
      </c>
      <c r="Q11" s="30">
        <v>718</v>
      </c>
      <c r="R11" s="125">
        <v>641</v>
      </c>
      <c r="S11" s="128">
        <v>545</v>
      </c>
      <c r="T11" s="125">
        <v>490</v>
      </c>
      <c r="U11" s="125">
        <v>574</v>
      </c>
      <c r="V11" s="125">
        <v>663</v>
      </c>
      <c r="W11" s="125">
        <v>535</v>
      </c>
      <c r="X11" s="125">
        <v>429</v>
      </c>
      <c r="Y11" s="125">
        <v>415</v>
      </c>
      <c r="Z11" s="125">
        <v>460</v>
      </c>
      <c r="AA11" s="125">
        <v>503</v>
      </c>
      <c r="AB11" s="125">
        <v>523</v>
      </c>
      <c r="AC11" s="125">
        <v>515</v>
      </c>
      <c r="AD11" s="201">
        <v>501</v>
      </c>
      <c r="AE11" s="192">
        <v>674</v>
      </c>
    </row>
    <row r="12" spans="1:31" x14ac:dyDescent="0.2">
      <c r="A12" s="142" t="s">
        <v>35</v>
      </c>
      <c r="B12" s="57">
        <v>89</v>
      </c>
      <c r="C12" s="57">
        <v>94</v>
      </c>
      <c r="D12" s="57">
        <v>81</v>
      </c>
      <c r="E12" s="29">
        <v>88</v>
      </c>
      <c r="F12" s="88">
        <v>89</v>
      </c>
      <c r="G12" s="88">
        <v>81</v>
      </c>
      <c r="H12" s="88">
        <v>70</v>
      </c>
      <c r="I12" s="28">
        <v>61</v>
      </c>
      <c r="J12" s="57">
        <v>69</v>
      </c>
      <c r="K12" s="57">
        <f>18+9+13+9+12+5+3</f>
        <v>69</v>
      </c>
      <c r="L12" s="107">
        <v>73</v>
      </c>
      <c r="M12" s="107">
        <v>67</v>
      </c>
      <c r="N12" s="108">
        <v>65</v>
      </c>
      <c r="O12" s="108">
        <f>18+4+27+20</f>
        <v>69</v>
      </c>
      <c r="P12" s="108">
        <v>61</v>
      </c>
      <c r="Q12" s="120">
        <v>55</v>
      </c>
      <c r="R12" s="108">
        <v>99</v>
      </c>
      <c r="S12" s="120">
        <v>218</v>
      </c>
      <c r="T12" s="108">
        <v>268</v>
      </c>
      <c r="U12" s="108">
        <v>213</v>
      </c>
      <c r="V12" s="108">
        <v>131</v>
      </c>
      <c r="W12" s="108">
        <v>198</v>
      </c>
      <c r="X12" s="108">
        <v>300</v>
      </c>
      <c r="Y12" s="108">
        <v>290</v>
      </c>
      <c r="Z12" s="108">
        <v>250</v>
      </c>
      <c r="AA12" s="108">
        <v>281</v>
      </c>
      <c r="AB12" s="108">
        <v>310</v>
      </c>
      <c r="AC12" s="108">
        <v>368</v>
      </c>
      <c r="AD12" s="198">
        <v>364</v>
      </c>
      <c r="AE12" s="192">
        <v>325</v>
      </c>
    </row>
    <row r="13" spans="1:31" x14ac:dyDescent="0.2">
      <c r="A13" s="142" t="s">
        <v>36</v>
      </c>
      <c r="B13" s="57"/>
      <c r="C13" s="57"/>
      <c r="D13" s="57"/>
      <c r="E13" s="29"/>
      <c r="F13" s="88"/>
      <c r="G13" s="88"/>
      <c r="H13" s="88"/>
      <c r="I13" s="28"/>
      <c r="J13" s="57"/>
      <c r="K13" s="57"/>
      <c r="L13" s="107"/>
      <c r="M13" s="107"/>
      <c r="N13" s="108"/>
      <c r="O13" s="108">
        <v>0</v>
      </c>
      <c r="P13" s="108">
        <v>0</v>
      </c>
      <c r="Q13" s="120">
        <v>0</v>
      </c>
      <c r="R13" s="108">
        <v>0</v>
      </c>
      <c r="S13" s="120">
        <v>2</v>
      </c>
      <c r="T13" s="108">
        <v>2</v>
      </c>
      <c r="U13" s="108">
        <v>4</v>
      </c>
      <c r="V13" s="108">
        <v>5</v>
      </c>
      <c r="W13" s="108">
        <v>5</v>
      </c>
      <c r="X13" s="108">
        <v>10</v>
      </c>
      <c r="Y13" s="108">
        <v>12</v>
      </c>
      <c r="Z13" s="108">
        <v>10</v>
      </c>
      <c r="AA13" s="108">
        <v>8</v>
      </c>
      <c r="AB13" s="108">
        <v>7</v>
      </c>
      <c r="AC13" s="108">
        <v>6</v>
      </c>
      <c r="AD13" s="198">
        <v>3</v>
      </c>
      <c r="AE13" s="192">
        <v>3</v>
      </c>
    </row>
    <row r="14" spans="1:31" ht="13.5" thickBot="1" x14ac:dyDescent="0.25">
      <c r="A14" s="143" t="s">
        <v>44</v>
      </c>
      <c r="B14" s="59">
        <f t="shared" ref="B14:L14" si="2">SUM(B11:B12)</f>
        <v>959</v>
      </c>
      <c r="C14" s="59">
        <f t="shared" si="2"/>
        <v>904</v>
      </c>
      <c r="D14" s="59">
        <f t="shared" si="2"/>
        <v>796</v>
      </c>
      <c r="E14" s="60">
        <f t="shared" si="2"/>
        <v>793</v>
      </c>
      <c r="F14" s="61">
        <f t="shared" si="2"/>
        <v>806</v>
      </c>
      <c r="G14" s="61">
        <f t="shared" si="2"/>
        <v>786</v>
      </c>
      <c r="H14" s="61">
        <f t="shared" si="2"/>
        <v>787</v>
      </c>
      <c r="I14" s="62">
        <f t="shared" si="2"/>
        <v>812</v>
      </c>
      <c r="J14" s="59">
        <f t="shared" si="2"/>
        <v>795</v>
      </c>
      <c r="K14" s="59">
        <f t="shared" si="2"/>
        <v>790</v>
      </c>
      <c r="L14" s="109">
        <f t="shared" si="2"/>
        <v>810</v>
      </c>
      <c r="M14" s="109">
        <f>SUM(M10:M12)</f>
        <v>810</v>
      </c>
      <c r="N14" s="110">
        <f>SUM(N10:N12)</f>
        <v>810</v>
      </c>
      <c r="O14" s="110">
        <f>SUM(O10:O12)</f>
        <v>816</v>
      </c>
      <c r="P14" s="110">
        <f t="shared" ref="P14:Z14" si="3">SUM(P10:P13)</f>
        <v>772</v>
      </c>
      <c r="Q14" s="121">
        <f t="shared" si="3"/>
        <v>773</v>
      </c>
      <c r="R14" s="110">
        <f t="shared" si="3"/>
        <v>740</v>
      </c>
      <c r="S14" s="121">
        <f t="shared" si="3"/>
        <v>765</v>
      </c>
      <c r="T14" s="110">
        <f t="shared" si="3"/>
        <v>760</v>
      </c>
      <c r="U14" s="110">
        <f t="shared" si="3"/>
        <v>791</v>
      </c>
      <c r="V14" s="110">
        <f t="shared" si="3"/>
        <v>799</v>
      </c>
      <c r="W14" s="110">
        <f t="shared" si="3"/>
        <v>738</v>
      </c>
      <c r="X14" s="110">
        <f t="shared" si="3"/>
        <v>739</v>
      </c>
      <c r="Y14" s="110">
        <f t="shared" si="3"/>
        <v>717</v>
      </c>
      <c r="Z14" s="110">
        <f t="shared" si="3"/>
        <v>720</v>
      </c>
      <c r="AA14" s="110">
        <v>792</v>
      </c>
      <c r="AB14" s="110">
        <v>840</v>
      </c>
      <c r="AC14" s="110">
        <v>889</v>
      </c>
      <c r="AD14" s="199">
        <v>868</v>
      </c>
      <c r="AE14" s="193">
        <f>SUM(AE11:AE13)</f>
        <v>1002</v>
      </c>
    </row>
    <row r="15" spans="1:31" x14ac:dyDescent="0.2">
      <c r="A15" s="141" t="s">
        <v>31</v>
      </c>
      <c r="B15" s="70"/>
      <c r="C15" s="70"/>
      <c r="D15" s="70"/>
      <c r="E15" s="71"/>
      <c r="F15" s="72"/>
      <c r="G15" s="72"/>
      <c r="H15" s="72"/>
      <c r="I15" s="91"/>
      <c r="J15" s="70"/>
      <c r="K15" s="70"/>
      <c r="L15" s="68"/>
      <c r="M15" s="68"/>
      <c r="N15" s="69"/>
      <c r="O15" s="69"/>
      <c r="P15" s="69"/>
      <c r="Q15" s="103"/>
      <c r="R15" s="69"/>
      <c r="S15" s="103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200"/>
      <c r="AE15" s="192"/>
    </row>
    <row r="16" spans="1:31" x14ac:dyDescent="0.2">
      <c r="A16" s="142" t="s">
        <v>10</v>
      </c>
      <c r="B16" s="57">
        <v>6469</v>
      </c>
      <c r="C16" s="57">
        <v>6449</v>
      </c>
      <c r="D16" s="57">
        <v>6732</v>
      </c>
      <c r="E16" s="29">
        <v>6252</v>
      </c>
      <c r="F16" s="88">
        <v>6084</v>
      </c>
      <c r="G16" s="88">
        <v>6105</v>
      </c>
      <c r="H16" s="88">
        <v>5939</v>
      </c>
      <c r="I16" s="28">
        <v>5684</v>
      </c>
      <c r="J16" s="57">
        <v>5890</v>
      </c>
      <c r="K16" s="57">
        <v>6048</v>
      </c>
      <c r="L16" s="107">
        <v>5990</v>
      </c>
      <c r="M16" s="107">
        <v>6104</v>
      </c>
      <c r="N16" s="108">
        <v>6308</v>
      </c>
      <c r="O16" s="108">
        <v>6490</v>
      </c>
      <c r="P16" s="108">
        <v>6736</v>
      </c>
      <c r="Q16" s="120">
        <v>6768</v>
      </c>
      <c r="R16" s="108">
        <v>6596</v>
      </c>
      <c r="S16" s="120">
        <v>6522</v>
      </c>
      <c r="T16" s="108">
        <v>6497</v>
      </c>
      <c r="U16" s="108">
        <v>6502</v>
      </c>
      <c r="V16" s="108">
        <v>6687</v>
      </c>
      <c r="W16" s="108">
        <v>6828</v>
      </c>
      <c r="X16" s="108">
        <v>7063</v>
      </c>
      <c r="Y16" s="108">
        <v>6804</v>
      </c>
      <c r="Z16" s="108">
        <v>6166</v>
      </c>
      <c r="AA16" s="108">
        <v>4078</v>
      </c>
      <c r="AB16" s="108">
        <v>3669</v>
      </c>
      <c r="AC16" s="108">
        <v>3393</v>
      </c>
      <c r="AD16" s="198">
        <v>3310</v>
      </c>
      <c r="AE16" s="192">
        <v>3209</v>
      </c>
    </row>
    <row r="17" spans="1:31" x14ac:dyDescent="0.2">
      <c r="A17" s="142" t="s">
        <v>35</v>
      </c>
      <c r="B17" s="57">
        <v>526</v>
      </c>
      <c r="C17" s="57">
        <v>550</v>
      </c>
      <c r="D17" s="57">
        <v>620</v>
      </c>
      <c r="E17" s="29">
        <v>592</v>
      </c>
      <c r="F17" s="88">
        <v>569</v>
      </c>
      <c r="G17" s="88">
        <v>507</v>
      </c>
      <c r="H17" s="88">
        <v>441</v>
      </c>
      <c r="I17" s="28">
        <v>432</v>
      </c>
      <c r="J17" s="57">
        <v>436</v>
      </c>
      <c r="K17" s="68">
        <f>9+12+1+6+7+12+12+2+4+5+2+6+4+19+47+2+3+10+7+6+5+15+7+1+10+8+1+4+19+14+6+1+1+9+12+10+5+16+15+2+2+6+3+2+1+8+12+1+7+9+1+12+12+8+9</f>
        <v>430</v>
      </c>
      <c r="L17" s="107">
        <v>441</v>
      </c>
      <c r="M17" s="107">
        <v>408</v>
      </c>
      <c r="N17" s="108">
        <v>436</v>
      </c>
      <c r="O17" s="108">
        <f>26+3+27+4+10+56+19+11+22+19+22+23+1+22+22+25+6+31+24+14+35+25</f>
        <v>447</v>
      </c>
      <c r="P17" s="108">
        <v>511</v>
      </c>
      <c r="Q17" s="120">
        <v>499</v>
      </c>
      <c r="R17" s="108">
        <v>437</v>
      </c>
      <c r="S17" s="120">
        <v>486</v>
      </c>
      <c r="T17" s="108">
        <v>475</v>
      </c>
      <c r="U17" s="108">
        <v>489</v>
      </c>
      <c r="V17" s="108">
        <v>473</v>
      </c>
      <c r="W17" s="108">
        <v>487</v>
      </c>
      <c r="X17" s="108">
        <v>488</v>
      </c>
      <c r="Y17" s="108">
        <v>450</v>
      </c>
      <c r="Z17" s="108">
        <v>442</v>
      </c>
      <c r="AA17" s="108">
        <v>324</v>
      </c>
      <c r="AB17" s="108">
        <v>323</v>
      </c>
      <c r="AC17" s="108">
        <v>305</v>
      </c>
      <c r="AD17" s="198">
        <v>278</v>
      </c>
      <c r="AE17" s="192">
        <v>292</v>
      </c>
    </row>
    <row r="18" spans="1:31" x14ac:dyDescent="0.2">
      <c r="A18" s="142" t="s">
        <v>36</v>
      </c>
      <c r="B18" s="57">
        <v>292</v>
      </c>
      <c r="C18" s="57">
        <v>300</v>
      </c>
      <c r="D18" s="57">
        <v>312</v>
      </c>
      <c r="E18" s="29">
        <v>307</v>
      </c>
      <c r="F18" s="88">
        <v>328</v>
      </c>
      <c r="G18" s="88">
        <v>340</v>
      </c>
      <c r="H18" s="88">
        <v>321</v>
      </c>
      <c r="I18" s="28">
        <v>320</v>
      </c>
      <c r="J18" s="57">
        <v>315</v>
      </c>
      <c r="K18" s="57">
        <v>322</v>
      </c>
      <c r="L18" s="107">
        <v>298</v>
      </c>
      <c r="M18" s="107">
        <v>284</v>
      </c>
      <c r="N18" s="108">
        <v>290</v>
      </c>
      <c r="O18" s="108">
        <v>318</v>
      </c>
      <c r="P18" s="108">
        <v>343</v>
      </c>
      <c r="Q18" s="120">
        <v>377</v>
      </c>
      <c r="R18" s="108">
        <v>414</v>
      </c>
      <c r="S18" s="120">
        <v>439</v>
      </c>
      <c r="T18" s="108">
        <v>464</v>
      </c>
      <c r="U18" s="108">
        <f>464-18</f>
        <v>446</v>
      </c>
      <c r="V18" s="108">
        <f>467-22</f>
        <v>445</v>
      </c>
      <c r="W18" s="108">
        <v>458</v>
      </c>
      <c r="X18" s="108">
        <v>480</v>
      </c>
      <c r="Y18" s="108">
        <v>449</v>
      </c>
      <c r="Z18" s="108">
        <v>452</v>
      </c>
      <c r="AA18" s="108">
        <v>406</v>
      </c>
      <c r="AB18" s="108">
        <v>400</v>
      </c>
      <c r="AC18" s="108">
        <v>380</v>
      </c>
      <c r="AD18" s="198">
        <v>378</v>
      </c>
      <c r="AE18" s="192">
        <v>357</v>
      </c>
    </row>
    <row r="19" spans="1:31" ht="13.5" thickBot="1" x14ac:dyDescent="0.25">
      <c r="A19" s="143" t="s">
        <v>44</v>
      </c>
      <c r="B19" s="89">
        <f t="shared" ref="B19:Q19" si="4">SUM(B16:B18)</f>
        <v>7287</v>
      </c>
      <c r="C19" s="89">
        <f t="shared" si="4"/>
        <v>7299</v>
      </c>
      <c r="D19" s="89">
        <f t="shared" si="4"/>
        <v>7664</v>
      </c>
      <c r="E19" s="90">
        <f t="shared" si="4"/>
        <v>7151</v>
      </c>
      <c r="F19" s="92">
        <f t="shared" si="4"/>
        <v>6981</v>
      </c>
      <c r="G19" s="92">
        <f t="shared" si="4"/>
        <v>6952</v>
      </c>
      <c r="H19" s="92">
        <f t="shared" si="4"/>
        <v>6701</v>
      </c>
      <c r="I19" s="93">
        <f t="shared" si="4"/>
        <v>6436</v>
      </c>
      <c r="J19" s="89">
        <f t="shared" si="4"/>
        <v>6641</v>
      </c>
      <c r="K19" s="89">
        <f t="shared" si="4"/>
        <v>6800</v>
      </c>
      <c r="L19" s="109">
        <f t="shared" si="4"/>
        <v>6729</v>
      </c>
      <c r="M19" s="109">
        <f t="shared" si="4"/>
        <v>6796</v>
      </c>
      <c r="N19" s="110">
        <f t="shared" si="4"/>
        <v>7034</v>
      </c>
      <c r="O19" s="110">
        <f t="shared" si="4"/>
        <v>7255</v>
      </c>
      <c r="P19" s="110">
        <f t="shared" si="4"/>
        <v>7590</v>
      </c>
      <c r="Q19" s="121">
        <f t="shared" si="4"/>
        <v>7644</v>
      </c>
      <c r="R19" s="110">
        <f t="shared" ref="R19:Z19" si="5">SUM(R16:R18)</f>
        <v>7447</v>
      </c>
      <c r="S19" s="121">
        <f t="shared" si="5"/>
        <v>7447</v>
      </c>
      <c r="T19" s="110">
        <f t="shared" si="5"/>
        <v>7436</v>
      </c>
      <c r="U19" s="110">
        <f t="shared" si="5"/>
        <v>7437</v>
      </c>
      <c r="V19" s="110">
        <f t="shared" si="5"/>
        <v>7605</v>
      </c>
      <c r="W19" s="110">
        <f t="shared" si="5"/>
        <v>7773</v>
      </c>
      <c r="X19" s="110">
        <f t="shared" si="5"/>
        <v>8031</v>
      </c>
      <c r="Y19" s="110">
        <f t="shared" si="5"/>
        <v>7703</v>
      </c>
      <c r="Z19" s="110">
        <f t="shared" si="5"/>
        <v>7060</v>
      </c>
      <c r="AA19" s="110">
        <v>4808</v>
      </c>
      <c r="AB19" s="110">
        <v>4392</v>
      </c>
      <c r="AC19" s="110">
        <v>4078</v>
      </c>
      <c r="AD19" s="199">
        <v>3966</v>
      </c>
      <c r="AE19" s="193">
        <f>SUM(AE16:AE18)</f>
        <v>3858</v>
      </c>
    </row>
    <row r="20" spans="1:31" x14ac:dyDescent="0.2">
      <c r="A20" s="141" t="s">
        <v>32</v>
      </c>
      <c r="B20" s="70"/>
      <c r="C20" s="70"/>
      <c r="D20" s="70"/>
      <c r="E20" s="71"/>
      <c r="F20" s="72"/>
      <c r="G20" s="72"/>
      <c r="H20" s="72"/>
      <c r="I20" s="91"/>
      <c r="J20" s="70"/>
      <c r="K20" s="70"/>
      <c r="L20" s="68"/>
      <c r="M20" s="68"/>
      <c r="N20" s="69"/>
      <c r="O20" s="69"/>
      <c r="P20" s="69"/>
      <c r="Q20" s="103"/>
      <c r="R20" s="69"/>
      <c r="S20" s="103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200"/>
      <c r="AE20" s="192"/>
    </row>
    <row r="21" spans="1:31" x14ac:dyDescent="0.2">
      <c r="A21" s="142" t="s">
        <v>10</v>
      </c>
      <c r="B21" s="57">
        <v>2963</v>
      </c>
      <c r="C21" s="57">
        <v>2752</v>
      </c>
      <c r="D21" s="57">
        <v>2354</v>
      </c>
      <c r="E21" s="29">
        <v>2137</v>
      </c>
      <c r="F21" s="88">
        <v>2097</v>
      </c>
      <c r="G21" s="88">
        <v>2088</v>
      </c>
      <c r="H21" s="88">
        <v>2286</v>
      </c>
      <c r="I21" s="28">
        <v>2477</v>
      </c>
      <c r="J21" s="57">
        <v>2625</v>
      </c>
      <c r="K21" s="57">
        <v>2807</v>
      </c>
      <c r="L21" s="107">
        <v>2948</v>
      </c>
      <c r="M21" s="107">
        <v>3098</v>
      </c>
      <c r="N21" s="108">
        <v>2925</v>
      </c>
      <c r="O21" s="108">
        <v>2761</v>
      </c>
      <c r="P21" s="108">
        <v>2620</v>
      </c>
      <c r="Q21" s="120">
        <v>2449</v>
      </c>
      <c r="R21" s="108">
        <f>2511+23</f>
        <v>2534</v>
      </c>
      <c r="S21" s="120">
        <v>2545</v>
      </c>
      <c r="T21" s="108">
        <v>2553</v>
      </c>
      <c r="U21" s="108">
        <v>2522</v>
      </c>
      <c r="V21" s="108">
        <v>2493</v>
      </c>
      <c r="W21" s="108">
        <v>2566</v>
      </c>
      <c r="X21" s="108">
        <v>2603</v>
      </c>
      <c r="Y21" s="108">
        <v>2675</v>
      </c>
      <c r="Z21" s="108">
        <v>2774</v>
      </c>
      <c r="AA21" s="108">
        <v>2447</v>
      </c>
      <c r="AB21" s="108">
        <v>2467</v>
      </c>
      <c r="AC21" s="108">
        <v>2480</v>
      </c>
      <c r="AD21" s="198">
        <v>2514</v>
      </c>
      <c r="AE21" s="192">
        <v>2595</v>
      </c>
    </row>
    <row r="22" spans="1:31" x14ac:dyDescent="0.2">
      <c r="A22" s="142" t="s">
        <v>35</v>
      </c>
      <c r="B22" s="57">
        <v>164</v>
      </c>
      <c r="C22" s="57">
        <v>173</v>
      </c>
      <c r="D22" s="57">
        <v>139</v>
      </c>
      <c r="E22" s="29">
        <v>125</v>
      </c>
      <c r="F22" s="88">
        <v>104</v>
      </c>
      <c r="G22" s="88">
        <v>109</v>
      </c>
      <c r="H22" s="88">
        <v>109</v>
      </c>
      <c r="I22" s="28">
        <v>112</v>
      </c>
      <c r="J22" s="57">
        <v>123</v>
      </c>
      <c r="K22" s="57">
        <f>22+18+1+48+22+6+4</f>
        <v>121</v>
      </c>
      <c r="L22" s="107">
        <v>138</v>
      </c>
      <c r="M22" s="107">
        <v>114</v>
      </c>
      <c r="N22" s="108">
        <v>127</v>
      </c>
      <c r="O22" s="108">
        <f>51+86</f>
        <v>137</v>
      </c>
      <c r="P22" s="108">
        <v>143</v>
      </c>
      <c r="Q22" s="120">
        <v>121</v>
      </c>
      <c r="R22" s="108">
        <v>164</v>
      </c>
      <c r="S22" s="120">
        <v>143</v>
      </c>
      <c r="T22" s="108">
        <v>100</v>
      </c>
      <c r="U22" s="108">
        <v>92</v>
      </c>
      <c r="V22" s="108">
        <v>119</v>
      </c>
      <c r="W22" s="108">
        <v>104</v>
      </c>
      <c r="X22" s="108">
        <v>118</v>
      </c>
      <c r="Y22" s="108">
        <v>106</v>
      </c>
      <c r="Z22" s="108">
        <v>103</v>
      </c>
      <c r="AA22" s="108">
        <v>276</v>
      </c>
      <c r="AB22" s="108">
        <v>284</v>
      </c>
      <c r="AC22" s="108">
        <v>269</v>
      </c>
      <c r="AD22" s="198">
        <v>275</v>
      </c>
      <c r="AE22" s="192">
        <v>301</v>
      </c>
    </row>
    <row r="23" spans="1:31" ht="13.5" thickBot="1" x14ac:dyDescent="0.25">
      <c r="A23" s="143" t="s">
        <v>44</v>
      </c>
      <c r="B23" s="59">
        <f t="shared" ref="B23:L23" si="6">SUM(B21:B22)</f>
        <v>3127</v>
      </c>
      <c r="C23" s="59">
        <f t="shared" si="6"/>
        <v>2925</v>
      </c>
      <c r="D23" s="59">
        <f t="shared" si="6"/>
        <v>2493</v>
      </c>
      <c r="E23" s="60">
        <f t="shared" si="6"/>
        <v>2262</v>
      </c>
      <c r="F23" s="61">
        <f t="shared" si="6"/>
        <v>2201</v>
      </c>
      <c r="G23" s="61">
        <f t="shared" si="6"/>
        <v>2197</v>
      </c>
      <c r="H23" s="61">
        <f t="shared" si="6"/>
        <v>2395</v>
      </c>
      <c r="I23" s="62">
        <f t="shared" si="6"/>
        <v>2589</v>
      </c>
      <c r="J23" s="59">
        <f t="shared" si="6"/>
        <v>2748</v>
      </c>
      <c r="K23" s="59">
        <f t="shared" si="6"/>
        <v>2928</v>
      </c>
      <c r="L23" s="109">
        <f t="shared" si="6"/>
        <v>3086</v>
      </c>
      <c r="M23" s="109">
        <f t="shared" ref="M23:Z23" si="7">SUM(M20:M22)</f>
        <v>3212</v>
      </c>
      <c r="N23" s="110">
        <f t="shared" si="7"/>
        <v>3052</v>
      </c>
      <c r="O23" s="110">
        <f t="shared" si="7"/>
        <v>2898</v>
      </c>
      <c r="P23" s="110">
        <f t="shared" si="7"/>
        <v>2763</v>
      </c>
      <c r="Q23" s="121">
        <f t="shared" si="7"/>
        <v>2570</v>
      </c>
      <c r="R23" s="110">
        <f t="shared" si="7"/>
        <v>2698</v>
      </c>
      <c r="S23" s="121">
        <f t="shared" si="7"/>
        <v>2688</v>
      </c>
      <c r="T23" s="110">
        <f t="shared" si="7"/>
        <v>2653</v>
      </c>
      <c r="U23" s="110">
        <f t="shared" si="7"/>
        <v>2614</v>
      </c>
      <c r="V23" s="110">
        <f t="shared" si="7"/>
        <v>2612</v>
      </c>
      <c r="W23" s="110">
        <f t="shared" si="7"/>
        <v>2670</v>
      </c>
      <c r="X23" s="110">
        <f t="shared" si="7"/>
        <v>2721</v>
      </c>
      <c r="Y23" s="110">
        <f t="shared" si="7"/>
        <v>2781</v>
      </c>
      <c r="Z23" s="110">
        <f t="shared" si="7"/>
        <v>2877</v>
      </c>
      <c r="AA23" s="110">
        <v>2723</v>
      </c>
      <c r="AB23" s="110">
        <v>2751</v>
      </c>
      <c r="AC23" s="110">
        <v>2749</v>
      </c>
      <c r="AD23" s="199">
        <v>2789</v>
      </c>
      <c r="AE23" s="193">
        <f>SUM(AE21:AE22)</f>
        <v>2896</v>
      </c>
    </row>
    <row r="24" spans="1:31" x14ac:dyDescent="0.2">
      <c r="A24" s="141" t="s">
        <v>33</v>
      </c>
      <c r="B24" s="70"/>
      <c r="C24" s="70"/>
      <c r="D24" s="70"/>
      <c r="E24" s="71"/>
      <c r="F24" s="72"/>
      <c r="G24" s="72"/>
      <c r="H24" s="72"/>
      <c r="I24" s="91"/>
      <c r="J24" s="70"/>
      <c r="K24" s="70"/>
      <c r="L24" s="107"/>
      <c r="M24" s="107"/>
      <c r="N24" s="108"/>
      <c r="O24" s="108"/>
      <c r="P24" s="108"/>
      <c r="Q24" s="120"/>
      <c r="R24" s="108"/>
      <c r="S24" s="120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98"/>
      <c r="AE24" s="192"/>
    </row>
    <row r="25" spans="1:31" x14ac:dyDescent="0.2">
      <c r="A25" s="142" t="s">
        <v>10</v>
      </c>
      <c r="B25" s="57">
        <v>1729</v>
      </c>
      <c r="C25" s="57">
        <v>1756</v>
      </c>
      <c r="D25" s="57">
        <v>1822</v>
      </c>
      <c r="E25" s="29">
        <v>1917</v>
      </c>
      <c r="F25" s="88">
        <v>1916</v>
      </c>
      <c r="G25" s="88">
        <v>1765</v>
      </c>
      <c r="H25" s="88">
        <v>1687</v>
      </c>
      <c r="I25" s="28">
        <v>1591</v>
      </c>
      <c r="J25" s="57">
        <v>1579</v>
      </c>
      <c r="K25" s="57">
        <v>1581</v>
      </c>
      <c r="L25" s="107">
        <v>1688</v>
      </c>
      <c r="M25" s="107">
        <v>1687</v>
      </c>
      <c r="N25" s="108">
        <v>1787</v>
      </c>
      <c r="O25" s="108">
        <v>1753</v>
      </c>
      <c r="P25" s="108">
        <v>1668</v>
      </c>
      <c r="Q25" s="120">
        <v>1577</v>
      </c>
      <c r="R25" s="108">
        <v>1573</v>
      </c>
      <c r="S25" s="120">
        <v>1537</v>
      </c>
      <c r="T25" s="108">
        <v>1463</v>
      </c>
      <c r="U25" s="108">
        <v>1523</v>
      </c>
      <c r="V25" s="108">
        <v>1422</v>
      </c>
      <c r="W25" s="108">
        <v>1289</v>
      </c>
      <c r="X25" s="108">
        <v>1251</v>
      </c>
      <c r="Y25" s="108">
        <v>1203</v>
      </c>
      <c r="Z25" s="108">
        <v>1249</v>
      </c>
      <c r="AA25" s="108">
        <v>1013</v>
      </c>
      <c r="AB25" s="108">
        <v>1007</v>
      </c>
      <c r="AC25" s="108">
        <v>981</v>
      </c>
      <c r="AD25" s="198">
        <v>896</v>
      </c>
      <c r="AE25" s="192">
        <v>859</v>
      </c>
    </row>
    <row r="26" spans="1:31" x14ac:dyDescent="0.2">
      <c r="A26" s="142" t="s">
        <v>35</v>
      </c>
      <c r="B26" s="57">
        <v>456</v>
      </c>
      <c r="C26" s="57">
        <v>494</v>
      </c>
      <c r="D26" s="57">
        <v>509</v>
      </c>
      <c r="E26" s="29">
        <v>557</v>
      </c>
      <c r="F26" s="88">
        <v>511</v>
      </c>
      <c r="G26" s="88">
        <v>462</v>
      </c>
      <c r="H26" s="88">
        <v>462</v>
      </c>
      <c r="I26" s="28">
        <v>419</v>
      </c>
      <c r="J26" s="57">
        <v>442</v>
      </c>
      <c r="K26" s="57">
        <v>459</v>
      </c>
      <c r="L26" s="107">
        <v>487</v>
      </c>
      <c r="M26" s="107">
        <v>455</v>
      </c>
      <c r="N26" s="108">
        <v>520</v>
      </c>
      <c r="O26" s="108">
        <f>100+52+1+122+49+36+70+42+45</f>
        <v>517</v>
      </c>
      <c r="P26" s="108">
        <v>522</v>
      </c>
      <c r="Q26" s="120">
        <v>440</v>
      </c>
      <c r="R26" s="108">
        <v>350</v>
      </c>
      <c r="S26" s="120">
        <v>475</v>
      </c>
      <c r="T26" s="108">
        <v>350</v>
      </c>
      <c r="U26" s="108">
        <v>427</v>
      </c>
      <c r="V26" s="108">
        <v>434</v>
      </c>
      <c r="W26" s="108">
        <v>533</v>
      </c>
      <c r="X26" s="108">
        <v>577</v>
      </c>
      <c r="Y26" s="108">
        <v>583</v>
      </c>
      <c r="Z26" s="108">
        <v>631</v>
      </c>
      <c r="AA26" s="108">
        <v>771</v>
      </c>
      <c r="AB26" s="108">
        <v>745</v>
      </c>
      <c r="AC26" s="108">
        <v>758</v>
      </c>
      <c r="AD26" s="198">
        <v>697</v>
      </c>
      <c r="AE26" s="192">
        <v>698</v>
      </c>
    </row>
    <row r="27" spans="1:31" x14ac:dyDescent="0.2">
      <c r="A27" s="142" t="s">
        <v>42</v>
      </c>
      <c r="B27" s="57">
        <v>268</v>
      </c>
      <c r="C27" s="57">
        <v>251</v>
      </c>
      <c r="D27" s="57">
        <v>252</v>
      </c>
      <c r="E27" s="29">
        <v>244</v>
      </c>
      <c r="F27" s="88">
        <v>256</v>
      </c>
      <c r="G27" s="88">
        <v>256</v>
      </c>
      <c r="H27" s="88">
        <v>241</v>
      </c>
      <c r="I27" s="28">
        <v>225</v>
      </c>
      <c r="J27" s="57">
        <v>230</v>
      </c>
      <c r="K27" s="57">
        <v>225</v>
      </c>
      <c r="L27" s="107">
        <v>247</v>
      </c>
      <c r="M27" s="107">
        <v>233</v>
      </c>
      <c r="N27" s="108">
        <v>247</v>
      </c>
      <c r="O27" s="108">
        <f>25+2+109+11+40+4+3+22+2+9</f>
        <v>227</v>
      </c>
      <c r="P27" s="108">
        <v>227</v>
      </c>
      <c r="Q27" s="120">
        <v>239</v>
      </c>
      <c r="R27" s="108">
        <v>231</v>
      </c>
      <c r="S27" s="120">
        <v>214</v>
      </c>
      <c r="T27" s="108">
        <v>210</v>
      </c>
      <c r="U27" s="108">
        <f>134+69</f>
        <v>203</v>
      </c>
      <c r="V27" s="108">
        <v>193</v>
      </c>
      <c r="W27" s="108">
        <v>194</v>
      </c>
      <c r="X27" s="108">
        <v>214</v>
      </c>
      <c r="Y27" s="108">
        <v>205</v>
      </c>
      <c r="Z27" s="108">
        <f>71+124</f>
        <v>195</v>
      </c>
      <c r="AA27" s="108">
        <v>357</v>
      </c>
      <c r="AB27" s="108">
        <v>418</v>
      </c>
      <c r="AC27" s="108">
        <v>441</v>
      </c>
      <c r="AD27" s="198">
        <v>441</v>
      </c>
      <c r="AE27" s="192">
        <v>453</v>
      </c>
    </row>
    <row r="28" spans="1:31" ht="13.5" thickBot="1" x14ac:dyDescent="0.25">
      <c r="A28" s="143" t="s">
        <v>44</v>
      </c>
      <c r="B28" s="59">
        <f t="shared" ref="B28:Q28" si="8">SUM(B25:B27)</f>
        <v>2453</v>
      </c>
      <c r="C28" s="59">
        <f t="shared" si="8"/>
        <v>2501</v>
      </c>
      <c r="D28" s="59">
        <f t="shared" si="8"/>
        <v>2583</v>
      </c>
      <c r="E28" s="60">
        <f t="shared" si="8"/>
        <v>2718</v>
      </c>
      <c r="F28" s="61">
        <f t="shared" si="8"/>
        <v>2683</v>
      </c>
      <c r="G28" s="61">
        <f t="shared" si="8"/>
        <v>2483</v>
      </c>
      <c r="H28" s="61">
        <f t="shared" si="8"/>
        <v>2390</v>
      </c>
      <c r="I28" s="62">
        <f t="shared" si="8"/>
        <v>2235</v>
      </c>
      <c r="J28" s="59">
        <f t="shared" si="8"/>
        <v>2251</v>
      </c>
      <c r="K28" s="59">
        <f t="shared" si="8"/>
        <v>2265</v>
      </c>
      <c r="L28" s="109">
        <f t="shared" si="8"/>
        <v>2422</v>
      </c>
      <c r="M28" s="109">
        <f t="shared" si="8"/>
        <v>2375</v>
      </c>
      <c r="N28" s="110">
        <f t="shared" si="8"/>
        <v>2554</v>
      </c>
      <c r="O28" s="110">
        <f t="shared" si="8"/>
        <v>2497</v>
      </c>
      <c r="P28" s="110">
        <f t="shared" si="8"/>
        <v>2417</v>
      </c>
      <c r="Q28" s="121">
        <f t="shared" si="8"/>
        <v>2256</v>
      </c>
      <c r="R28" s="110">
        <f t="shared" ref="R28:Z28" si="9">SUM(R25:R27)</f>
        <v>2154</v>
      </c>
      <c r="S28" s="121">
        <f t="shared" si="9"/>
        <v>2226</v>
      </c>
      <c r="T28" s="110">
        <f t="shared" si="9"/>
        <v>2023</v>
      </c>
      <c r="U28" s="110">
        <f t="shared" si="9"/>
        <v>2153</v>
      </c>
      <c r="V28" s="110">
        <f t="shared" si="9"/>
        <v>2049</v>
      </c>
      <c r="W28" s="110">
        <f t="shared" si="9"/>
        <v>2016</v>
      </c>
      <c r="X28" s="110">
        <f t="shared" si="9"/>
        <v>2042</v>
      </c>
      <c r="Y28" s="110">
        <f t="shared" si="9"/>
        <v>1991</v>
      </c>
      <c r="Z28" s="110">
        <f t="shared" si="9"/>
        <v>2075</v>
      </c>
      <c r="AA28" s="110">
        <v>2141</v>
      </c>
      <c r="AB28" s="110">
        <v>2170</v>
      </c>
      <c r="AC28" s="110">
        <v>2180</v>
      </c>
      <c r="AD28" s="199">
        <v>2034</v>
      </c>
      <c r="AE28" s="193">
        <f>SUM(AE25:AE27)</f>
        <v>2010</v>
      </c>
    </row>
    <row r="29" spans="1:31" x14ac:dyDescent="0.2">
      <c r="A29" s="141" t="s">
        <v>34</v>
      </c>
      <c r="B29" s="70"/>
      <c r="C29" s="70"/>
      <c r="D29" s="70"/>
      <c r="E29" s="71"/>
      <c r="F29" s="72"/>
      <c r="G29" s="72"/>
      <c r="H29" s="72"/>
      <c r="I29" s="91"/>
      <c r="J29" s="70"/>
      <c r="K29" s="70"/>
      <c r="L29" s="107"/>
      <c r="M29" s="107"/>
      <c r="N29" s="108"/>
      <c r="O29" s="108"/>
      <c r="P29" s="108"/>
      <c r="Q29" s="120"/>
      <c r="R29" s="108"/>
      <c r="S29" s="120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98"/>
      <c r="AE29" s="192"/>
    </row>
    <row r="30" spans="1:31" x14ac:dyDescent="0.2">
      <c r="A30" s="142" t="s">
        <v>10</v>
      </c>
      <c r="B30" s="57">
        <v>2647</v>
      </c>
      <c r="C30" s="57">
        <v>2616</v>
      </c>
      <c r="D30" s="57">
        <v>2482</v>
      </c>
      <c r="E30" s="29">
        <v>2649</v>
      </c>
      <c r="F30" s="88">
        <v>2598</v>
      </c>
      <c r="G30" s="88">
        <v>2584</v>
      </c>
      <c r="H30" s="88">
        <v>2463</v>
      </c>
      <c r="I30" s="28">
        <v>2557</v>
      </c>
      <c r="J30" s="57">
        <v>2570</v>
      </c>
      <c r="K30" s="57">
        <v>2668</v>
      </c>
      <c r="L30" s="107">
        <v>2751</v>
      </c>
      <c r="M30" s="107">
        <v>2793</v>
      </c>
      <c r="N30" s="108">
        <v>2864</v>
      </c>
      <c r="O30" s="108">
        <v>2823</v>
      </c>
      <c r="P30" s="108">
        <v>2771</v>
      </c>
      <c r="Q30" s="120">
        <v>2755</v>
      </c>
      <c r="R30" s="108">
        <v>2794</v>
      </c>
      <c r="S30" s="120">
        <v>2901</v>
      </c>
      <c r="T30" s="108">
        <v>2960</v>
      </c>
      <c r="U30" s="108">
        <v>3027</v>
      </c>
      <c r="V30" s="108">
        <v>2998</v>
      </c>
      <c r="W30" s="108">
        <v>3056</v>
      </c>
      <c r="X30" s="108">
        <v>3172</v>
      </c>
      <c r="Y30" s="108">
        <v>3327</v>
      </c>
      <c r="Z30" s="108">
        <v>3503</v>
      </c>
      <c r="AA30" s="108">
        <v>3073</v>
      </c>
      <c r="AB30" s="108">
        <v>2832</v>
      </c>
      <c r="AC30" s="108">
        <v>2766</v>
      </c>
      <c r="AD30" s="198">
        <v>2783</v>
      </c>
      <c r="AE30" s="192">
        <v>2836</v>
      </c>
    </row>
    <row r="31" spans="1:31" x14ac:dyDescent="0.2">
      <c r="A31" s="142" t="s">
        <v>35</v>
      </c>
      <c r="B31" s="57">
        <v>195</v>
      </c>
      <c r="C31" s="57">
        <v>216</v>
      </c>
      <c r="D31" s="57">
        <v>223</v>
      </c>
      <c r="E31" s="29">
        <v>276</v>
      </c>
      <c r="F31" s="88">
        <v>315</v>
      </c>
      <c r="G31" s="88">
        <v>273</v>
      </c>
      <c r="H31" s="88">
        <v>237</v>
      </c>
      <c r="I31" s="28">
        <v>230</v>
      </c>
      <c r="J31" s="57">
        <v>216</v>
      </c>
      <c r="K31" s="57">
        <f>5+14+5+4+3+2+27+7+1+35+1+17+1+1+34+3+1+41+15+1+2+10+5+2</f>
        <v>237</v>
      </c>
      <c r="L31" s="107">
        <v>260</v>
      </c>
      <c r="M31" s="107">
        <v>320</v>
      </c>
      <c r="N31" s="108">
        <v>330</v>
      </c>
      <c r="O31" s="108">
        <f>3+8+41+13+96+49+29+35+9+54+7+8</f>
        <v>352</v>
      </c>
      <c r="P31" s="108">
        <v>301</v>
      </c>
      <c r="Q31" s="120">
        <v>271</v>
      </c>
      <c r="R31" s="108">
        <v>309</v>
      </c>
      <c r="S31" s="120">
        <v>335</v>
      </c>
      <c r="T31" s="108">
        <v>346</v>
      </c>
      <c r="U31" s="108">
        <v>360</v>
      </c>
      <c r="V31" s="108">
        <f>385-43</f>
        <v>342</v>
      </c>
      <c r="W31" s="108">
        <v>307</v>
      </c>
      <c r="X31" s="108">
        <v>274</v>
      </c>
      <c r="Y31" s="108">
        <v>271</v>
      </c>
      <c r="Z31" s="108">
        <v>292</v>
      </c>
      <c r="AA31" s="108">
        <v>186</v>
      </c>
      <c r="AB31" s="108">
        <v>182</v>
      </c>
      <c r="AC31" s="108">
        <v>192</v>
      </c>
      <c r="AD31" s="198">
        <v>161</v>
      </c>
      <c r="AE31" s="192">
        <v>143</v>
      </c>
    </row>
    <row r="32" spans="1:31" x14ac:dyDescent="0.2">
      <c r="A32" s="142" t="s">
        <v>36</v>
      </c>
      <c r="B32" s="57">
        <v>75</v>
      </c>
      <c r="C32" s="57">
        <v>79</v>
      </c>
      <c r="D32" s="57">
        <v>89</v>
      </c>
      <c r="E32" s="29">
        <v>102</v>
      </c>
      <c r="F32" s="88">
        <v>106</v>
      </c>
      <c r="G32" s="88">
        <v>103</v>
      </c>
      <c r="H32" s="88">
        <v>97</v>
      </c>
      <c r="I32" s="28">
        <v>90</v>
      </c>
      <c r="J32" s="57">
        <v>95</v>
      </c>
      <c r="K32" s="57">
        <f>8+4+73+16</f>
        <v>101</v>
      </c>
      <c r="L32" s="107">
        <v>96</v>
      </c>
      <c r="M32" s="107">
        <v>84</v>
      </c>
      <c r="N32" s="108">
        <v>102</v>
      </c>
      <c r="O32" s="108">
        <f>11+16+15+19+19+1+12+23+1</f>
        <v>117</v>
      </c>
      <c r="P32" s="108">
        <v>110</v>
      </c>
      <c r="Q32" s="120">
        <v>104</v>
      </c>
      <c r="R32" s="108">
        <v>104</v>
      </c>
      <c r="S32" s="120">
        <v>116</v>
      </c>
      <c r="T32" s="108">
        <v>129</v>
      </c>
      <c r="U32" s="108">
        <v>123</v>
      </c>
      <c r="V32" s="108">
        <v>150</v>
      </c>
      <c r="W32" s="108">
        <v>155</v>
      </c>
      <c r="X32" s="108">
        <v>163</v>
      </c>
      <c r="Y32" s="108">
        <v>165</v>
      </c>
      <c r="Z32" s="108">
        <v>165</v>
      </c>
      <c r="AA32" s="108">
        <v>194</v>
      </c>
      <c r="AB32" s="108">
        <v>182</v>
      </c>
      <c r="AC32" s="108">
        <v>163</v>
      </c>
      <c r="AD32" s="198">
        <v>157</v>
      </c>
      <c r="AE32" s="192">
        <v>161</v>
      </c>
    </row>
    <row r="33" spans="1:31" ht="13.5" thickBot="1" x14ac:dyDescent="0.25">
      <c r="A33" s="143" t="s">
        <v>44</v>
      </c>
      <c r="B33" s="59">
        <f t="shared" ref="B33:U33" si="10">SUM(B30:B32)</f>
        <v>2917</v>
      </c>
      <c r="C33" s="59">
        <f t="shared" si="10"/>
        <v>2911</v>
      </c>
      <c r="D33" s="59">
        <f t="shared" si="10"/>
        <v>2794</v>
      </c>
      <c r="E33" s="60">
        <f t="shared" si="10"/>
        <v>3027</v>
      </c>
      <c r="F33" s="61">
        <f t="shared" si="10"/>
        <v>3019</v>
      </c>
      <c r="G33" s="61">
        <f t="shared" si="10"/>
        <v>2960</v>
      </c>
      <c r="H33" s="61">
        <f t="shared" si="10"/>
        <v>2797</v>
      </c>
      <c r="I33" s="62">
        <f t="shared" si="10"/>
        <v>2877</v>
      </c>
      <c r="J33" s="59">
        <f t="shared" si="10"/>
        <v>2881</v>
      </c>
      <c r="K33" s="59">
        <f t="shared" si="10"/>
        <v>3006</v>
      </c>
      <c r="L33" s="109">
        <f t="shared" si="10"/>
        <v>3107</v>
      </c>
      <c r="M33" s="109">
        <f t="shared" si="10"/>
        <v>3197</v>
      </c>
      <c r="N33" s="110">
        <f t="shared" si="10"/>
        <v>3296</v>
      </c>
      <c r="O33" s="110">
        <f t="shared" si="10"/>
        <v>3292</v>
      </c>
      <c r="P33" s="110">
        <f t="shared" si="10"/>
        <v>3182</v>
      </c>
      <c r="Q33" s="121">
        <f t="shared" si="10"/>
        <v>3130</v>
      </c>
      <c r="R33" s="110">
        <f t="shared" si="10"/>
        <v>3207</v>
      </c>
      <c r="S33" s="121">
        <f t="shared" si="10"/>
        <v>3352</v>
      </c>
      <c r="T33" s="110">
        <f t="shared" si="10"/>
        <v>3435</v>
      </c>
      <c r="U33" s="110">
        <f t="shared" si="10"/>
        <v>3510</v>
      </c>
      <c r="V33" s="110">
        <f t="shared" ref="V33:Z33" si="11">SUM(V30:V32)</f>
        <v>3490</v>
      </c>
      <c r="W33" s="110">
        <f t="shared" si="11"/>
        <v>3518</v>
      </c>
      <c r="X33" s="110">
        <f t="shared" si="11"/>
        <v>3609</v>
      </c>
      <c r="Y33" s="110">
        <f t="shared" si="11"/>
        <v>3763</v>
      </c>
      <c r="Z33" s="110">
        <f t="shared" si="11"/>
        <v>3960</v>
      </c>
      <c r="AA33" s="110">
        <v>3453</v>
      </c>
      <c r="AB33" s="110">
        <v>3196</v>
      </c>
      <c r="AC33" s="110">
        <v>3121</v>
      </c>
      <c r="AD33" s="199">
        <v>3101</v>
      </c>
      <c r="AE33" s="193">
        <f>SUM(AE30:AE32)</f>
        <v>3140</v>
      </c>
    </row>
    <row r="34" spans="1:31" x14ac:dyDescent="0.2">
      <c r="A34" s="141" t="s">
        <v>60</v>
      </c>
      <c r="B34" s="28"/>
      <c r="C34" s="57"/>
      <c r="D34" s="57"/>
      <c r="E34" s="29"/>
      <c r="F34" s="88"/>
      <c r="G34" s="88"/>
      <c r="H34" s="88"/>
      <c r="I34" s="28"/>
      <c r="J34" s="57"/>
      <c r="K34" s="57"/>
      <c r="L34" s="107"/>
      <c r="M34" s="107"/>
      <c r="N34" s="108"/>
      <c r="O34" s="108"/>
      <c r="P34" s="108"/>
      <c r="Q34" s="120"/>
      <c r="R34" s="107"/>
      <c r="S34" s="185"/>
      <c r="T34" s="186"/>
      <c r="U34" s="186"/>
      <c r="V34" s="186"/>
      <c r="W34" s="108"/>
      <c r="X34" s="108"/>
      <c r="Y34" s="108"/>
      <c r="Z34" s="108"/>
      <c r="AA34" s="108"/>
      <c r="AB34" s="108"/>
      <c r="AC34" s="108"/>
      <c r="AD34" s="198"/>
      <c r="AE34" s="192"/>
    </row>
    <row r="35" spans="1:31" ht="13.5" thickBot="1" x14ac:dyDescent="0.25">
      <c r="A35" s="187" t="s">
        <v>10</v>
      </c>
      <c r="B35" s="28"/>
      <c r="C35" s="57"/>
      <c r="D35" s="57"/>
      <c r="E35" s="29"/>
      <c r="F35" s="88"/>
      <c r="G35" s="88"/>
      <c r="H35" s="88"/>
      <c r="I35" s="28"/>
      <c r="J35" s="57"/>
      <c r="K35" s="57"/>
      <c r="L35" s="107"/>
      <c r="M35" s="107"/>
      <c r="N35" s="108"/>
      <c r="O35" s="108"/>
      <c r="P35" s="108"/>
      <c r="Q35" s="120"/>
      <c r="R35" s="107"/>
      <c r="S35" s="185"/>
      <c r="T35" s="186"/>
      <c r="U35" s="186"/>
      <c r="V35" s="186"/>
      <c r="W35" s="164"/>
      <c r="X35" s="164"/>
      <c r="Y35" s="164"/>
      <c r="Z35" s="164"/>
      <c r="AA35" s="112">
        <v>0</v>
      </c>
      <c r="AB35" s="112">
        <v>0</v>
      </c>
      <c r="AC35" s="188">
        <v>0</v>
      </c>
      <c r="AD35" s="202">
        <v>0</v>
      </c>
      <c r="AE35" s="205">
        <v>515</v>
      </c>
    </row>
    <row r="36" spans="1:31" x14ac:dyDescent="0.2">
      <c r="A36" s="141" t="s">
        <v>56</v>
      </c>
      <c r="B36" s="70"/>
      <c r="C36" s="70"/>
      <c r="D36" s="70"/>
      <c r="E36" s="71"/>
      <c r="F36" s="72"/>
      <c r="G36" s="72"/>
      <c r="H36" s="72"/>
      <c r="I36" s="91"/>
      <c r="J36" s="70"/>
      <c r="K36" s="70"/>
      <c r="L36" s="107"/>
      <c r="M36" s="107"/>
      <c r="N36" s="108"/>
      <c r="O36" s="108"/>
      <c r="P36" s="108"/>
      <c r="Q36" s="120"/>
      <c r="R36" s="108"/>
      <c r="S36" s="120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98"/>
      <c r="AE36" s="192"/>
    </row>
    <row r="37" spans="1:31" x14ac:dyDescent="0.2">
      <c r="A37" s="142" t="s">
        <v>35</v>
      </c>
      <c r="B37" s="57">
        <v>102</v>
      </c>
      <c r="C37" s="57">
        <v>103</v>
      </c>
      <c r="D37" s="57">
        <v>125</v>
      </c>
      <c r="E37" s="29">
        <v>116</v>
      </c>
      <c r="F37" s="88">
        <v>126</v>
      </c>
      <c r="G37" s="88">
        <v>150</v>
      </c>
      <c r="H37" s="88">
        <v>140</v>
      </c>
      <c r="I37" s="28">
        <v>140</v>
      </c>
      <c r="J37" s="57">
        <v>138</v>
      </c>
      <c r="K37" s="57">
        <v>133</v>
      </c>
      <c r="L37" s="107">
        <v>130</v>
      </c>
      <c r="M37" s="107">
        <v>133</v>
      </c>
      <c r="N37" s="108">
        <v>143</v>
      </c>
      <c r="O37" s="108">
        <f>18+11+116+16+5+1</f>
        <v>167</v>
      </c>
      <c r="P37" s="108">
        <v>216</v>
      </c>
      <c r="Q37" s="120">
        <v>240</v>
      </c>
      <c r="R37" s="108">
        <v>304</v>
      </c>
      <c r="S37" s="120">
        <v>252</v>
      </c>
      <c r="T37" s="108">
        <f>289+1</f>
        <v>290</v>
      </c>
      <c r="U37" s="108">
        <v>244</v>
      </c>
      <c r="V37" s="108">
        <f>302</f>
        <v>302</v>
      </c>
      <c r="W37" s="108">
        <v>274</v>
      </c>
      <c r="X37" s="108">
        <v>262</v>
      </c>
      <c r="Y37" s="108">
        <v>250</v>
      </c>
      <c r="Z37" s="108">
        <v>266</v>
      </c>
      <c r="AA37" s="108">
        <v>165</v>
      </c>
      <c r="AB37" s="108">
        <v>47</v>
      </c>
      <c r="AC37" s="108">
        <v>34</v>
      </c>
      <c r="AD37" s="198">
        <v>33</v>
      </c>
      <c r="AE37" s="192">
        <v>51</v>
      </c>
    </row>
    <row r="38" spans="1:31" x14ac:dyDescent="0.2">
      <c r="A38" s="142" t="s">
        <v>36</v>
      </c>
      <c r="B38" s="57">
        <v>45</v>
      </c>
      <c r="C38" s="57">
        <v>49</v>
      </c>
      <c r="D38" s="57">
        <v>49</v>
      </c>
      <c r="E38" s="29">
        <v>58</v>
      </c>
      <c r="F38" s="88">
        <v>60</v>
      </c>
      <c r="G38" s="88">
        <v>57</v>
      </c>
      <c r="H38" s="88">
        <v>60</v>
      </c>
      <c r="I38" s="28">
        <v>67</v>
      </c>
      <c r="J38" s="57">
        <v>62</v>
      </c>
      <c r="K38" s="57">
        <f>3+1+16+45</f>
        <v>65</v>
      </c>
      <c r="L38" s="107">
        <v>67</v>
      </c>
      <c r="M38" s="107">
        <v>75</v>
      </c>
      <c r="N38" s="108">
        <v>75</v>
      </c>
      <c r="O38" s="108">
        <f>68+8</f>
        <v>76</v>
      </c>
      <c r="P38" s="108">
        <v>85</v>
      </c>
      <c r="Q38" s="120">
        <v>83</v>
      </c>
      <c r="R38" s="108">
        <v>84</v>
      </c>
      <c r="S38" s="120">
        <v>83</v>
      </c>
      <c r="T38" s="108">
        <v>77</v>
      </c>
      <c r="U38" s="108">
        <v>91</v>
      </c>
      <c r="V38" s="108">
        <v>93</v>
      </c>
      <c r="W38" s="108">
        <v>105</v>
      </c>
      <c r="X38" s="108">
        <v>99</v>
      </c>
      <c r="Y38" s="108">
        <v>110</v>
      </c>
      <c r="Z38" s="108">
        <v>113</v>
      </c>
      <c r="AA38" s="108">
        <v>25</v>
      </c>
      <c r="AB38" s="108">
        <v>23</v>
      </c>
      <c r="AC38" s="108">
        <v>0</v>
      </c>
      <c r="AD38" s="198">
        <v>0</v>
      </c>
      <c r="AE38" s="192">
        <v>0</v>
      </c>
    </row>
    <row r="39" spans="1:31" ht="13.5" thickBot="1" x14ac:dyDescent="0.25">
      <c r="A39" s="143" t="s">
        <v>44</v>
      </c>
      <c r="B39" s="59">
        <f t="shared" ref="B39:Z39" si="12">SUM(B37:B38)</f>
        <v>147</v>
      </c>
      <c r="C39" s="59">
        <f t="shared" si="12"/>
        <v>152</v>
      </c>
      <c r="D39" s="59">
        <f t="shared" si="12"/>
        <v>174</v>
      </c>
      <c r="E39" s="60">
        <f t="shared" si="12"/>
        <v>174</v>
      </c>
      <c r="F39" s="61">
        <f t="shared" si="12"/>
        <v>186</v>
      </c>
      <c r="G39" s="61">
        <f t="shared" si="12"/>
        <v>207</v>
      </c>
      <c r="H39" s="61">
        <f t="shared" si="12"/>
        <v>200</v>
      </c>
      <c r="I39" s="62">
        <f t="shared" si="12"/>
        <v>207</v>
      </c>
      <c r="J39" s="59">
        <f t="shared" si="12"/>
        <v>200</v>
      </c>
      <c r="K39" s="59">
        <f t="shared" si="12"/>
        <v>198</v>
      </c>
      <c r="L39" s="109">
        <f t="shared" si="12"/>
        <v>197</v>
      </c>
      <c r="M39" s="109">
        <f t="shared" si="12"/>
        <v>208</v>
      </c>
      <c r="N39" s="110">
        <f t="shared" si="12"/>
        <v>218</v>
      </c>
      <c r="O39" s="110">
        <f t="shared" si="12"/>
        <v>243</v>
      </c>
      <c r="P39" s="110">
        <f t="shared" si="12"/>
        <v>301</v>
      </c>
      <c r="Q39" s="121">
        <f t="shared" si="12"/>
        <v>323</v>
      </c>
      <c r="R39" s="110">
        <f t="shared" si="12"/>
        <v>388</v>
      </c>
      <c r="S39" s="121">
        <f t="shared" si="12"/>
        <v>335</v>
      </c>
      <c r="T39" s="110">
        <f t="shared" si="12"/>
        <v>367</v>
      </c>
      <c r="U39" s="110">
        <f t="shared" si="12"/>
        <v>335</v>
      </c>
      <c r="V39" s="110">
        <f t="shared" si="12"/>
        <v>395</v>
      </c>
      <c r="W39" s="110">
        <f t="shared" si="12"/>
        <v>379</v>
      </c>
      <c r="X39" s="110">
        <f t="shared" si="12"/>
        <v>361</v>
      </c>
      <c r="Y39" s="110">
        <f t="shared" si="12"/>
        <v>360</v>
      </c>
      <c r="Z39" s="110">
        <f t="shared" si="12"/>
        <v>379</v>
      </c>
      <c r="AA39" s="110">
        <v>190</v>
      </c>
      <c r="AB39" s="110">
        <v>70</v>
      </c>
      <c r="AC39" s="110">
        <v>34</v>
      </c>
      <c r="AD39" s="199">
        <v>33</v>
      </c>
      <c r="AE39" s="193">
        <f>SUM(AE37:AE38)</f>
        <v>51</v>
      </c>
    </row>
    <row r="40" spans="1:31" x14ac:dyDescent="0.2">
      <c r="A40" s="141" t="s">
        <v>54</v>
      </c>
      <c r="B40" s="70"/>
      <c r="C40" s="70"/>
      <c r="D40" s="70"/>
      <c r="E40" s="71"/>
      <c r="F40" s="72"/>
      <c r="G40" s="72"/>
      <c r="H40" s="72"/>
      <c r="I40" s="91"/>
      <c r="J40" s="70"/>
      <c r="K40" s="70"/>
      <c r="L40" s="107"/>
      <c r="M40" s="107"/>
      <c r="N40" s="108"/>
      <c r="O40" s="108"/>
      <c r="P40" s="108"/>
      <c r="Q40" s="120"/>
      <c r="R40" s="108"/>
      <c r="S40" s="120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98"/>
      <c r="AE40" s="192"/>
    </row>
    <row r="41" spans="1:31" x14ac:dyDescent="0.2">
      <c r="A41" s="142" t="s">
        <v>10</v>
      </c>
      <c r="B41" s="57">
        <v>1259</v>
      </c>
      <c r="C41" s="57">
        <v>1179</v>
      </c>
      <c r="D41" s="57">
        <v>1091</v>
      </c>
      <c r="E41" s="29">
        <v>1060</v>
      </c>
      <c r="F41" s="88">
        <v>1087</v>
      </c>
      <c r="G41" s="88">
        <v>1144</v>
      </c>
      <c r="H41" s="88">
        <v>1244</v>
      </c>
      <c r="I41" s="28">
        <v>1285</v>
      </c>
      <c r="J41" s="57">
        <v>1318</v>
      </c>
      <c r="K41" s="57">
        <v>1268</v>
      </c>
      <c r="L41" s="107">
        <v>1331</v>
      </c>
      <c r="M41" s="107">
        <v>1442</v>
      </c>
      <c r="N41" s="108">
        <v>1574</v>
      </c>
      <c r="O41" s="108">
        <v>1733</v>
      </c>
      <c r="P41" s="108">
        <v>1895</v>
      </c>
      <c r="Q41" s="120">
        <v>1921</v>
      </c>
      <c r="R41" s="108">
        <v>1972</v>
      </c>
      <c r="S41" s="120">
        <v>1905</v>
      </c>
      <c r="T41" s="108">
        <v>1856</v>
      </c>
      <c r="U41" s="108">
        <v>1901</v>
      </c>
      <c r="V41" s="108">
        <v>2026</v>
      </c>
      <c r="W41" s="108">
        <v>2062</v>
      </c>
      <c r="X41" s="108">
        <v>2123</v>
      </c>
      <c r="Y41" s="108">
        <v>2458</v>
      </c>
      <c r="Z41" s="108">
        <v>2678</v>
      </c>
      <c r="AA41" s="108">
        <v>2364</v>
      </c>
      <c r="AB41" s="108">
        <v>2334</v>
      </c>
      <c r="AC41" s="108">
        <v>2229</v>
      </c>
      <c r="AD41" s="198">
        <v>2361</v>
      </c>
      <c r="AE41" s="192">
        <v>2210</v>
      </c>
    </row>
    <row r="42" spans="1:31" x14ac:dyDescent="0.2">
      <c r="A42" s="142" t="s">
        <v>35</v>
      </c>
      <c r="B42" s="57">
        <v>102</v>
      </c>
      <c r="C42" s="57">
        <v>103</v>
      </c>
      <c r="D42" s="57">
        <v>125</v>
      </c>
      <c r="E42" s="29">
        <v>116</v>
      </c>
      <c r="F42" s="88">
        <v>126</v>
      </c>
      <c r="G42" s="88">
        <v>150</v>
      </c>
      <c r="H42" s="88">
        <v>140</v>
      </c>
      <c r="I42" s="28">
        <v>140</v>
      </c>
      <c r="J42" s="57">
        <v>138</v>
      </c>
      <c r="K42" s="57">
        <v>133</v>
      </c>
      <c r="L42" s="107">
        <v>130</v>
      </c>
      <c r="M42" s="107">
        <v>133</v>
      </c>
      <c r="N42" s="108">
        <v>143</v>
      </c>
      <c r="O42" s="108">
        <f>18+11+116+16+5+1</f>
        <v>167</v>
      </c>
      <c r="P42" s="108">
        <v>216</v>
      </c>
      <c r="Q42" s="120">
        <v>240</v>
      </c>
      <c r="R42" s="108">
        <v>304</v>
      </c>
      <c r="S42" s="120">
        <v>252</v>
      </c>
      <c r="T42" s="108">
        <f>289+1</f>
        <v>290</v>
      </c>
      <c r="U42" s="108">
        <v>244</v>
      </c>
      <c r="V42" s="108">
        <f>302</f>
        <v>302</v>
      </c>
      <c r="W42" s="108">
        <v>274</v>
      </c>
      <c r="X42" s="108">
        <v>262</v>
      </c>
      <c r="Y42" s="108">
        <v>250</v>
      </c>
      <c r="Z42" s="108">
        <v>266</v>
      </c>
      <c r="AA42" s="108">
        <v>342</v>
      </c>
      <c r="AB42" s="108">
        <v>387</v>
      </c>
      <c r="AC42" s="108">
        <v>423</v>
      </c>
      <c r="AD42" s="198">
        <v>453</v>
      </c>
      <c r="AE42" s="192">
        <v>440</v>
      </c>
    </row>
    <row r="43" spans="1:31" x14ac:dyDescent="0.2">
      <c r="A43" s="142" t="s">
        <v>36</v>
      </c>
      <c r="B43" s="57">
        <v>45</v>
      </c>
      <c r="C43" s="57">
        <v>49</v>
      </c>
      <c r="D43" s="57">
        <v>49</v>
      </c>
      <c r="E43" s="29">
        <v>58</v>
      </c>
      <c r="F43" s="88">
        <v>60</v>
      </c>
      <c r="G43" s="88">
        <v>57</v>
      </c>
      <c r="H43" s="88">
        <v>60</v>
      </c>
      <c r="I43" s="28">
        <v>67</v>
      </c>
      <c r="J43" s="57">
        <v>62</v>
      </c>
      <c r="K43" s="57">
        <f>3+1+16+45</f>
        <v>65</v>
      </c>
      <c r="L43" s="107">
        <v>67</v>
      </c>
      <c r="M43" s="107">
        <v>75</v>
      </c>
      <c r="N43" s="108">
        <v>75</v>
      </c>
      <c r="O43" s="108">
        <f>68+8</f>
        <v>76</v>
      </c>
      <c r="P43" s="108">
        <v>85</v>
      </c>
      <c r="Q43" s="120">
        <v>83</v>
      </c>
      <c r="R43" s="108">
        <v>84</v>
      </c>
      <c r="S43" s="120">
        <v>83</v>
      </c>
      <c r="T43" s="108">
        <v>77</v>
      </c>
      <c r="U43" s="108">
        <v>91</v>
      </c>
      <c r="V43" s="108">
        <v>93</v>
      </c>
      <c r="W43" s="108">
        <v>105</v>
      </c>
      <c r="X43" s="108">
        <v>99</v>
      </c>
      <c r="Y43" s="108">
        <v>110</v>
      </c>
      <c r="Z43" s="108">
        <v>113</v>
      </c>
      <c r="AA43" s="108">
        <v>96</v>
      </c>
      <c r="AB43" s="108">
        <v>91</v>
      </c>
      <c r="AC43" s="108">
        <v>93</v>
      </c>
      <c r="AD43" s="198">
        <v>86</v>
      </c>
      <c r="AE43" s="192">
        <v>92</v>
      </c>
    </row>
    <row r="44" spans="1:31" ht="13.5" thickBot="1" x14ac:dyDescent="0.25">
      <c r="A44" s="143" t="s">
        <v>44</v>
      </c>
      <c r="B44" s="59">
        <f t="shared" ref="B44:U44" si="13">SUM(B41:B43)</f>
        <v>1406</v>
      </c>
      <c r="C44" s="59">
        <f t="shared" si="13"/>
        <v>1331</v>
      </c>
      <c r="D44" s="59">
        <f t="shared" si="13"/>
        <v>1265</v>
      </c>
      <c r="E44" s="60">
        <f t="shared" si="13"/>
        <v>1234</v>
      </c>
      <c r="F44" s="61">
        <f t="shared" si="13"/>
        <v>1273</v>
      </c>
      <c r="G44" s="61">
        <f t="shared" si="13"/>
        <v>1351</v>
      </c>
      <c r="H44" s="61">
        <f t="shared" si="13"/>
        <v>1444</v>
      </c>
      <c r="I44" s="62">
        <f t="shared" si="13"/>
        <v>1492</v>
      </c>
      <c r="J44" s="59">
        <f t="shared" si="13"/>
        <v>1518</v>
      </c>
      <c r="K44" s="59">
        <f t="shared" si="13"/>
        <v>1466</v>
      </c>
      <c r="L44" s="109">
        <f t="shared" si="13"/>
        <v>1528</v>
      </c>
      <c r="M44" s="109">
        <f t="shared" si="13"/>
        <v>1650</v>
      </c>
      <c r="N44" s="110">
        <f t="shared" si="13"/>
        <v>1792</v>
      </c>
      <c r="O44" s="110">
        <f t="shared" si="13"/>
        <v>1976</v>
      </c>
      <c r="P44" s="110">
        <f t="shared" si="13"/>
        <v>2196</v>
      </c>
      <c r="Q44" s="121">
        <f t="shared" si="13"/>
        <v>2244</v>
      </c>
      <c r="R44" s="110">
        <f t="shared" si="13"/>
        <v>2360</v>
      </c>
      <c r="S44" s="121">
        <f t="shared" si="13"/>
        <v>2240</v>
      </c>
      <c r="T44" s="110">
        <f t="shared" si="13"/>
        <v>2223</v>
      </c>
      <c r="U44" s="110">
        <f t="shared" si="13"/>
        <v>2236</v>
      </c>
      <c r="V44" s="110">
        <f t="shared" ref="V44:Z44" si="14">SUM(V41:V43)</f>
        <v>2421</v>
      </c>
      <c r="W44" s="110">
        <f t="shared" si="14"/>
        <v>2441</v>
      </c>
      <c r="X44" s="110">
        <f t="shared" si="14"/>
        <v>2484</v>
      </c>
      <c r="Y44" s="110">
        <f t="shared" si="14"/>
        <v>2818</v>
      </c>
      <c r="Z44" s="110">
        <f t="shared" si="14"/>
        <v>3057</v>
      </c>
      <c r="AA44" s="110">
        <v>2802</v>
      </c>
      <c r="AB44" s="110">
        <v>2812</v>
      </c>
      <c r="AC44" s="110">
        <v>2745</v>
      </c>
      <c r="AD44" s="199">
        <v>2900</v>
      </c>
      <c r="AE44" s="193">
        <f>SUM(AE41:AE43)</f>
        <v>2742</v>
      </c>
    </row>
    <row r="45" spans="1:31" x14ac:dyDescent="0.2">
      <c r="A45" s="141" t="s">
        <v>37</v>
      </c>
      <c r="B45" s="70"/>
      <c r="C45" s="70"/>
      <c r="D45" s="70"/>
      <c r="E45" s="71"/>
      <c r="F45" s="72"/>
      <c r="G45" s="72"/>
      <c r="H45" s="72"/>
      <c r="I45" s="91"/>
      <c r="J45" s="70"/>
      <c r="K45" s="70"/>
      <c r="L45" s="107"/>
      <c r="M45" s="107"/>
      <c r="N45" s="108"/>
      <c r="O45" s="108"/>
      <c r="P45" s="108"/>
      <c r="Q45" s="120"/>
      <c r="R45" s="108"/>
      <c r="S45" s="120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98"/>
      <c r="AE45" s="192"/>
    </row>
    <row r="46" spans="1:31" ht="13.5" thickBot="1" x14ac:dyDescent="0.25">
      <c r="A46" s="142" t="s">
        <v>10</v>
      </c>
      <c r="B46" s="57"/>
      <c r="C46" s="57"/>
      <c r="D46" s="57">
        <v>752</v>
      </c>
      <c r="E46" s="29">
        <v>710</v>
      </c>
      <c r="F46" s="88">
        <v>722</v>
      </c>
      <c r="G46" s="88">
        <v>744</v>
      </c>
      <c r="H46" s="88">
        <v>701</v>
      </c>
      <c r="I46" s="28">
        <v>615</v>
      </c>
      <c r="J46" s="57">
        <v>750</v>
      </c>
      <c r="K46" s="57">
        <v>788</v>
      </c>
      <c r="L46" s="111">
        <v>803</v>
      </c>
      <c r="M46" s="111">
        <v>929</v>
      </c>
      <c r="N46" s="112">
        <v>1005</v>
      </c>
      <c r="O46" s="112">
        <v>898</v>
      </c>
      <c r="P46" s="112">
        <v>834</v>
      </c>
      <c r="Q46" s="122">
        <v>776</v>
      </c>
      <c r="R46" s="112">
        <v>715</v>
      </c>
      <c r="S46" s="107">
        <v>711</v>
      </c>
      <c r="T46" s="108">
        <f>700+4</f>
        <v>704</v>
      </c>
      <c r="U46" s="108">
        <v>642</v>
      </c>
      <c r="V46" s="108">
        <v>661</v>
      </c>
      <c r="W46" s="108">
        <v>674</v>
      </c>
      <c r="X46" s="108">
        <v>687</v>
      </c>
      <c r="Y46" s="108">
        <v>607</v>
      </c>
      <c r="Z46" s="108">
        <v>717</v>
      </c>
      <c r="AA46" s="108">
        <v>616</v>
      </c>
      <c r="AB46" s="108">
        <v>721</v>
      </c>
      <c r="AC46" s="108">
        <v>767</v>
      </c>
      <c r="AD46" s="198">
        <v>823</v>
      </c>
      <c r="AE46" s="192">
        <v>692</v>
      </c>
    </row>
    <row r="47" spans="1:31" x14ac:dyDescent="0.2">
      <c r="A47" s="142" t="s">
        <v>35</v>
      </c>
      <c r="B47" s="57"/>
      <c r="C47" s="57"/>
      <c r="D47" s="57"/>
      <c r="E47" s="29"/>
      <c r="F47" s="88"/>
      <c r="G47" s="88"/>
      <c r="H47" s="88"/>
      <c r="I47" s="28"/>
      <c r="J47" s="57"/>
      <c r="K47" s="57"/>
      <c r="L47" s="107"/>
      <c r="M47" s="107"/>
      <c r="N47" s="108"/>
      <c r="O47" s="108"/>
      <c r="P47" s="108"/>
      <c r="Q47" s="120"/>
      <c r="R47" s="108"/>
      <c r="S47" s="120"/>
      <c r="T47" s="108"/>
      <c r="U47" s="108"/>
      <c r="V47" s="108"/>
      <c r="W47" s="108">
        <v>2</v>
      </c>
      <c r="X47" s="108">
        <v>3</v>
      </c>
      <c r="Y47" s="108">
        <v>4</v>
      </c>
      <c r="Z47" s="108">
        <v>7</v>
      </c>
      <c r="AA47" s="108">
        <v>5</v>
      </c>
      <c r="AB47" s="108">
        <v>5</v>
      </c>
      <c r="AC47" s="108">
        <v>8</v>
      </c>
      <c r="AD47" s="198">
        <v>22</v>
      </c>
      <c r="AE47" s="192">
        <v>27</v>
      </c>
    </row>
    <row r="48" spans="1:31" ht="13.5" thickBot="1" x14ac:dyDescent="0.25">
      <c r="A48" s="143" t="s">
        <v>44</v>
      </c>
      <c r="B48" s="28"/>
      <c r="C48" s="57"/>
      <c r="D48" s="57"/>
      <c r="E48" s="29"/>
      <c r="F48" s="88"/>
      <c r="G48" s="88"/>
      <c r="H48" s="88"/>
      <c r="I48" s="28"/>
      <c r="J48" s="57"/>
      <c r="K48" s="57"/>
      <c r="L48" s="107"/>
      <c r="M48" s="107"/>
      <c r="N48" s="108"/>
      <c r="O48" s="108"/>
      <c r="P48" s="108"/>
      <c r="Q48" s="120"/>
      <c r="R48" s="107"/>
      <c r="S48" s="164"/>
      <c r="T48" s="164"/>
      <c r="U48" s="164"/>
      <c r="V48" s="164"/>
      <c r="W48" s="112">
        <v>2</v>
      </c>
      <c r="X48" s="112">
        <v>3</v>
      </c>
      <c r="Y48" s="112">
        <v>4</v>
      </c>
      <c r="Z48" s="112">
        <v>7</v>
      </c>
      <c r="AA48" s="112">
        <v>621</v>
      </c>
      <c r="AB48" s="112">
        <v>726</v>
      </c>
      <c r="AC48" s="188">
        <v>775</v>
      </c>
      <c r="AD48" s="202">
        <v>845</v>
      </c>
      <c r="AE48" s="213">
        <f>AE46+AE47</f>
        <v>719</v>
      </c>
    </row>
    <row r="49" spans="1:36" x14ac:dyDescent="0.2">
      <c r="A49" s="141" t="s">
        <v>55</v>
      </c>
      <c r="B49" s="28"/>
      <c r="C49" s="57"/>
      <c r="D49" s="57"/>
      <c r="E49" s="29"/>
      <c r="F49" s="88"/>
      <c r="G49" s="88"/>
      <c r="H49" s="88"/>
      <c r="I49" s="28"/>
      <c r="J49" s="57"/>
      <c r="K49" s="57"/>
      <c r="L49" s="107"/>
      <c r="M49" s="107"/>
      <c r="N49" s="108"/>
      <c r="O49" s="108"/>
      <c r="P49" s="108"/>
      <c r="Q49" s="120"/>
      <c r="R49" s="107"/>
      <c r="S49" s="185"/>
      <c r="T49" s="186"/>
      <c r="U49" s="186"/>
      <c r="V49" s="186"/>
      <c r="W49" s="108"/>
      <c r="X49" s="108"/>
      <c r="Y49" s="108"/>
      <c r="Z49" s="108"/>
      <c r="AA49" s="108"/>
      <c r="AB49" s="108"/>
      <c r="AC49" s="108"/>
      <c r="AD49" s="198"/>
      <c r="AE49" s="192"/>
    </row>
    <row r="50" spans="1:36" ht="13.5" thickBot="1" x14ac:dyDescent="0.25">
      <c r="A50" s="187" t="s">
        <v>35</v>
      </c>
      <c r="B50" s="28"/>
      <c r="C50" s="57"/>
      <c r="D50" s="57"/>
      <c r="E50" s="29"/>
      <c r="F50" s="88"/>
      <c r="G50" s="88"/>
      <c r="H50" s="88"/>
      <c r="I50" s="28"/>
      <c r="J50" s="57"/>
      <c r="K50" s="57"/>
      <c r="L50" s="107"/>
      <c r="M50" s="107"/>
      <c r="N50" s="108"/>
      <c r="O50" s="108"/>
      <c r="P50" s="108"/>
      <c r="Q50" s="120"/>
      <c r="R50" s="107"/>
      <c r="S50" s="185"/>
      <c r="T50" s="186"/>
      <c r="U50" s="186"/>
      <c r="V50" s="186"/>
      <c r="W50" s="164"/>
      <c r="X50" s="164"/>
      <c r="Y50" s="164"/>
      <c r="Z50" s="164"/>
      <c r="AA50" s="112">
        <v>22</v>
      </c>
      <c r="AB50" s="112">
        <v>23</v>
      </c>
      <c r="AC50" s="188">
        <v>20</v>
      </c>
      <c r="AD50" s="202">
        <v>16</v>
      </c>
      <c r="AE50" s="205">
        <v>29</v>
      </c>
    </row>
    <row r="51" spans="1:36" x14ac:dyDescent="0.2">
      <c r="A51" s="141" t="s">
        <v>24</v>
      </c>
      <c r="B51" s="70"/>
      <c r="C51" s="70"/>
      <c r="D51" s="70"/>
      <c r="E51" s="71"/>
      <c r="F51" s="72"/>
      <c r="G51" s="72"/>
      <c r="H51" s="72"/>
      <c r="I51" s="91"/>
      <c r="J51" s="70" t="s">
        <v>38</v>
      </c>
      <c r="K51" s="70" t="s">
        <v>38</v>
      </c>
      <c r="L51" s="107"/>
      <c r="M51" s="107"/>
      <c r="N51" s="108"/>
      <c r="O51" s="108"/>
      <c r="P51" s="108"/>
      <c r="Q51" s="120"/>
      <c r="R51" s="108"/>
      <c r="S51" s="120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98"/>
      <c r="AE51" s="192"/>
    </row>
    <row r="52" spans="1:36" x14ac:dyDescent="0.2">
      <c r="A52" s="142" t="s">
        <v>39</v>
      </c>
      <c r="B52" s="57">
        <v>361</v>
      </c>
      <c r="C52" s="57">
        <v>360</v>
      </c>
      <c r="D52" s="57">
        <v>360</v>
      </c>
      <c r="E52" s="29">
        <v>355</v>
      </c>
      <c r="F52" s="88">
        <v>362</v>
      </c>
      <c r="G52" s="88">
        <v>366</v>
      </c>
      <c r="H52" s="88">
        <v>373</v>
      </c>
      <c r="I52" s="28">
        <v>384</v>
      </c>
      <c r="J52" s="57">
        <v>395</v>
      </c>
      <c r="K52" s="57">
        <v>396</v>
      </c>
      <c r="L52" s="107">
        <v>400</v>
      </c>
      <c r="M52" s="107">
        <v>401</v>
      </c>
      <c r="N52" s="108">
        <v>405</v>
      </c>
      <c r="O52" s="108">
        <v>433</v>
      </c>
      <c r="P52" s="108">
        <v>434</v>
      </c>
      <c r="Q52" s="120">
        <v>428</v>
      </c>
      <c r="R52" s="108">
        <v>433</v>
      </c>
      <c r="S52" s="120">
        <v>428</v>
      </c>
      <c r="T52" s="108">
        <v>439</v>
      </c>
      <c r="U52" s="108">
        <v>437</v>
      </c>
      <c r="V52" s="108">
        <v>462</v>
      </c>
      <c r="W52" s="108">
        <v>457</v>
      </c>
      <c r="X52" s="108">
        <v>464</v>
      </c>
      <c r="Y52" s="108">
        <v>465</v>
      </c>
      <c r="Z52" s="108">
        <v>476</v>
      </c>
      <c r="AA52" s="108">
        <v>477</v>
      </c>
      <c r="AB52" s="108">
        <v>476</v>
      </c>
      <c r="AC52" s="108">
        <v>480</v>
      </c>
      <c r="AD52" s="198">
        <v>476</v>
      </c>
      <c r="AE52" s="192">
        <v>493</v>
      </c>
    </row>
    <row r="53" spans="1:36" x14ac:dyDescent="0.2">
      <c r="A53" s="142" t="s">
        <v>35</v>
      </c>
      <c r="B53" s="57">
        <v>26</v>
      </c>
      <c r="C53" s="57">
        <v>28</v>
      </c>
      <c r="D53" s="57">
        <v>21</v>
      </c>
      <c r="E53" s="29">
        <v>24</v>
      </c>
      <c r="F53" s="88">
        <v>25</v>
      </c>
      <c r="G53" s="88">
        <v>17</v>
      </c>
      <c r="H53" s="88">
        <v>22</v>
      </c>
      <c r="I53" s="28">
        <v>17</v>
      </c>
      <c r="J53" s="57">
        <v>18</v>
      </c>
      <c r="K53" s="57">
        <f>6+8+1+2+1</f>
        <v>18</v>
      </c>
      <c r="L53" s="107">
        <v>18</v>
      </c>
      <c r="M53" s="107">
        <v>27</v>
      </c>
      <c r="N53" s="108">
        <v>21</v>
      </c>
      <c r="O53" s="108">
        <f>2+7+11+1</f>
        <v>21</v>
      </c>
      <c r="P53" s="108">
        <v>20</v>
      </c>
      <c r="Q53" s="120">
        <v>32</v>
      </c>
      <c r="R53" s="108">
        <v>24</v>
      </c>
      <c r="S53" s="120">
        <v>22</v>
      </c>
      <c r="T53" s="108">
        <v>35</v>
      </c>
      <c r="U53" s="108">
        <v>34</v>
      </c>
      <c r="V53" s="108">
        <v>38</v>
      </c>
      <c r="W53" s="108">
        <v>103</v>
      </c>
      <c r="X53" s="108">
        <v>85</v>
      </c>
      <c r="Y53" s="108">
        <v>84</v>
      </c>
      <c r="Z53" s="108">
        <v>93</v>
      </c>
      <c r="AA53" s="108">
        <v>120</v>
      </c>
      <c r="AB53" s="108">
        <v>123</v>
      </c>
      <c r="AC53" s="108">
        <v>124</v>
      </c>
      <c r="AD53" s="198">
        <v>165</v>
      </c>
      <c r="AE53" s="192">
        <v>166</v>
      </c>
      <c r="AJ53" s="119"/>
    </row>
    <row r="54" spans="1:36" x14ac:dyDescent="0.2">
      <c r="A54" s="142" t="s">
        <v>36</v>
      </c>
      <c r="B54" s="57">
        <v>32</v>
      </c>
      <c r="C54" s="57">
        <v>26</v>
      </c>
      <c r="D54" s="57">
        <v>25</v>
      </c>
      <c r="E54" s="29">
        <v>19</v>
      </c>
      <c r="F54" s="88">
        <v>24</v>
      </c>
      <c r="G54" s="88">
        <v>25</v>
      </c>
      <c r="H54" s="88">
        <v>26</v>
      </c>
      <c r="I54" s="28">
        <v>25</v>
      </c>
      <c r="J54" s="57">
        <v>25</v>
      </c>
      <c r="K54" s="57">
        <f>13+4+3+5+3</f>
        <v>28</v>
      </c>
      <c r="L54" s="107">
        <v>28</v>
      </c>
      <c r="M54" s="107">
        <v>29</v>
      </c>
      <c r="N54" s="108">
        <v>26</v>
      </c>
      <c r="O54" s="108">
        <f>14+20</f>
        <v>34</v>
      </c>
      <c r="P54" s="108">
        <f>19+16</f>
        <v>35</v>
      </c>
      <c r="Q54" s="120">
        <v>32</v>
      </c>
      <c r="R54" s="108">
        <v>30</v>
      </c>
      <c r="S54" s="120">
        <v>32</v>
      </c>
      <c r="T54" s="108">
        <f>34</f>
        <v>34</v>
      </c>
      <c r="U54" s="108">
        <v>35</v>
      </c>
      <c r="V54" s="108">
        <v>30</v>
      </c>
      <c r="W54" s="108">
        <v>31</v>
      </c>
      <c r="X54" s="108">
        <v>39</v>
      </c>
      <c r="Y54" s="108">
        <v>43</v>
      </c>
      <c r="Z54" s="108">
        <v>38</v>
      </c>
      <c r="AA54" s="108">
        <v>43</v>
      </c>
      <c r="AB54" s="108">
        <v>47</v>
      </c>
      <c r="AC54" s="108">
        <v>42</v>
      </c>
      <c r="AD54" s="198">
        <v>35</v>
      </c>
      <c r="AE54" s="192">
        <v>45</v>
      </c>
    </row>
    <row r="55" spans="1:36" ht="13.5" thickBot="1" x14ac:dyDescent="0.25">
      <c r="A55" s="143" t="s">
        <v>44</v>
      </c>
      <c r="B55" s="59">
        <f t="shared" ref="B55:U55" si="15">SUM(B52:B54)</f>
        <v>419</v>
      </c>
      <c r="C55" s="59">
        <f t="shared" si="15"/>
        <v>414</v>
      </c>
      <c r="D55" s="59">
        <f t="shared" si="15"/>
        <v>406</v>
      </c>
      <c r="E55" s="60">
        <f t="shared" si="15"/>
        <v>398</v>
      </c>
      <c r="F55" s="61">
        <f t="shared" si="15"/>
        <v>411</v>
      </c>
      <c r="G55" s="61">
        <f t="shared" si="15"/>
        <v>408</v>
      </c>
      <c r="H55" s="61">
        <f t="shared" si="15"/>
        <v>421</v>
      </c>
      <c r="I55" s="62">
        <f t="shared" si="15"/>
        <v>426</v>
      </c>
      <c r="J55" s="59">
        <f t="shared" si="15"/>
        <v>438</v>
      </c>
      <c r="K55" s="59">
        <f t="shared" si="15"/>
        <v>442</v>
      </c>
      <c r="L55" s="109">
        <f t="shared" si="15"/>
        <v>446</v>
      </c>
      <c r="M55" s="109">
        <f t="shared" si="15"/>
        <v>457</v>
      </c>
      <c r="N55" s="110">
        <f t="shared" si="15"/>
        <v>452</v>
      </c>
      <c r="O55" s="110">
        <f t="shared" si="15"/>
        <v>488</v>
      </c>
      <c r="P55" s="110">
        <f t="shared" si="15"/>
        <v>489</v>
      </c>
      <c r="Q55" s="121">
        <f t="shared" si="15"/>
        <v>492</v>
      </c>
      <c r="R55" s="110">
        <f t="shared" si="15"/>
        <v>487</v>
      </c>
      <c r="S55" s="121">
        <f t="shared" si="15"/>
        <v>482</v>
      </c>
      <c r="T55" s="110">
        <f t="shared" si="15"/>
        <v>508</v>
      </c>
      <c r="U55" s="110">
        <f t="shared" si="15"/>
        <v>506</v>
      </c>
      <c r="V55" s="110">
        <f t="shared" ref="V55:Z55" si="16">SUM(V52:V54)</f>
        <v>530</v>
      </c>
      <c r="W55" s="110">
        <f t="shared" si="16"/>
        <v>591</v>
      </c>
      <c r="X55" s="110">
        <f t="shared" si="16"/>
        <v>588</v>
      </c>
      <c r="Y55" s="110">
        <f t="shared" si="16"/>
        <v>592</v>
      </c>
      <c r="Z55" s="110">
        <f t="shared" si="16"/>
        <v>607</v>
      </c>
      <c r="AA55" s="110">
        <v>640</v>
      </c>
      <c r="AB55" s="110">
        <v>646</v>
      </c>
      <c r="AC55" s="110">
        <v>646</v>
      </c>
      <c r="AD55" s="199">
        <v>676</v>
      </c>
      <c r="AE55" s="193">
        <f>SUM(AE52:AE54)</f>
        <v>704</v>
      </c>
    </row>
    <row r="56" spans="1:36" x14ac:dyDescent="0.2">
      <c r="A56" s="141" t="s">
        <v>58</v>
      </c>
      <c r="B56" s="28"/>
      <c r="C56" s="57"/>
      <c r="D56" s="57"/>
      <c r="E56" s="29"/>
      <c r="F56" s="88"/>
      <c r="G56" s="88"/>
      <c r="H56" s="88"/>
      <c r="I56" s="28"/>
      <c r="J56" s="57"/>
      <c r="K56" s="57"/>
      <c r="L56" s="107"/>
      <c r="M56" s="107"/>
      <c r="N56" s="108"/>
      <c r="O56" s="108"/>
      <c r="P56" s="108"/>
      <c r="Q56" s="120"/>
      <c r="R56" s="107"/>
      <c r="S56" s="185"/>
      <c r="T56" s="186"/>
      <c r="U56" s="186"/>
      <c r="V56" s="186"/>
      <c r="W56" s="108"/>
      <c r="X56" s="108"/>
      <c r="Y56" s="108"/>
      <c r="Z56" s="108"/>
      <c r="AA56" s="108"/>
      <c r="AB56" s="108"/>
      <c r="AC56" s="108"/>
      <c r="AD56" s="198"/>
      <c r="AE56" s="192"/>
    </row>
    <row r="57" spans="1:36" ht="13.5" thickBot="1" x14ac:dyDescent="0.25">
      <c r="A57" s="142" t="s">
        <v>10</v>
      </c>
      <c r="B57" s="28"/>
      <c r="C57" s="57"/>
      <c r="D57" s="57"/>
      <c r="E57" s="29"/>
      <c r="F57" s="88"/>
      <c r="G57" s="88"/>
      <c r="H57" s="88"/>
      <c r="I57" s="28"/>
      <c r="J57" s="57"/>
      <c r="K57" s="57"/>
      <c r="L57" s="107"/>
      <c r="M57" s="107"/>
      <c r="N57" s="108"/>
      <c r="O57" s="108"/>
      <c r="P57" s="108"/>
      <c r="Q57" s="120"/>
      <c r="R57" s="107"/>
      <c r="S57" s="185"/>
      <c r="T57" s="186"/>
      <c r="U57" s="186"/>
      <c r="V57" s="186"/>
      <c r="W57" s="164"/>
      <c r="X57" s="164"/>
      <c r="Y57" s="164"/>
      <c r="Z57" s="164"/>
      <c r="AA57" s="108">
        <v>2</v>
      </c>
      <c r="AB57" s="108">
        <v>0</v>
      </c>
      <c r="AC57" s="108">
        <v>4</v>
      </c>
      <c r="AD57" s="198">
        <v>1</v>
      </c>
      <c r="AE57" s="192">
        <v>5</v>
      </c>
    </row>
    <row r="58" spans="1:36" x14ac:dyDescent="0.2">
      <c r="A58" s="187" t="s">
        <v>35</v>
      </c>
      <c r="B58" s="28"/>
      <c r="C58" s="57"/>
      <c r="D58" s="57"/>
      <c r="E58" s="29"/>
      <c r="F58" s="88"/>
      <c r="G58" s="88"/>
      <c r="H58" s="88"/>
      <c r="I58" s="28"/>
      <c r="J58" s="57"/>
      <c r="K58" s="57"/>
      <c r="L58" s="107"/>
      <c r="M58" s="107"/>
      <c r="N58" s="108"/>
      <c r="O58" s="108"/>
      <c r="P58" s="108"/>
      <c r="Q58" s="120"/>
      <c r="R58" s="107"/>
      <c r="S58" s="185"/>
      <c r="T58" s="186"/>
      <c r="U58" s="186"/>
      <c r="V58" s="186"/>
      <c r="W58" s="186"/>
      <c r="X58" s="186"/>
      <c r="Y58" s="186"/>
      <c r="Z58" s="186"/>
      <c r="AA58" s="108"/>
      <c r="AB58" s="108"/>
      <c r="AC58" s="108"/>
      <c r="AD58" s="198"/>
      <c r="AE58" s="192">
        <v>1</v>
      </c>
    </row>
    <row r="59" spans="1:36" x14ac:dyDescent="0.2">
      <c r="A59" s="142" t="s">
        <v>36</v>
      </c>
      <c r="B59" s="28"/>
      <c r="C59" s="57"/>
      <c r="D59" s="57"/>
      <c r="E59" s="29"/>
      <c r="F59" s="88"/>
      <c r="G59" s="88"/>
      <c r="H59" s="88"/>
      <c r="I59" s="28"/>
      <c r="J59" s="57"/>
      <c r="K59" s="57"/>
      <c r="L59" s="107"/>
      <c r="M59" s="107"/>
      <c r="N59" s="108"/>
      <c r="O59" s="108"/>
      <c r="P59" s="108"/>
      <c r="Q59" s="120"/>
      <c r="R59" s="107"/>
      <c r="S59" s="185"/>
      <c r="T59" s="186"/>
      <c r="U59" s="186"/>
      <c r="V59" s="186"/>
      <c r="W59" s="186"/>
      <c r="X59" s="186"/>
      <c r="Y59" s="186"/>
      <c r="Z59" s="186"/>
      <c r="AA59" s="108"/>
      <c r="AB59" s="108"/>
      <c r="AC59" s="108">
        <v>37</v>
      </c>
      <c r="AD59" s="198">
        <v>42</v>
      </c>
      <c r="AE59" s="192">
        <v>35</v>
      </c>
    </row>
    <row r="60" spans="1:36" ht="13.5" thickBot="1" x14ac:dyDescent="0.25">
      <c r="A60" s="143" t="s">
        <v>44</v>
      </c>
      <c r="B60" s="28"/>
      <c r="C60" s="57"/>
      <c r="D60" s="57"/>
      <c r="E60" s="29"/>
      <c r="F60" s="88"/>
      <c r="G60" s="88"/>
      <c r="H60" s="88"/>
      <c r="I60" s="28"/>
      <c r="J60" s="57"/>
      <c r="K60" s="57"/>
      <c r="L60" s="107"/>
      <c r="M60" s="107"/>
      <c r="N60" s="108"/>
      <c r="O60" s="108"/>
      <c r="P60" s="108"/>
      <c r="Q60" s="120"/>
      <c r="R60" s="107"/>
      <c r="S60" s="185"/>
      <c r="T60" s="186"/>
      <c r="U60" s="186"/>
      <c r="V60" s="186"/>
      <c r="W60" s="186"/>
      <c r="X60" s="186"/>
      <c r="Y60" s="186"/>
      <c r="Z60" s="186"/>
      <c r="AA60" s="112"/>
      <c r="AB60" s="112"/>
      <c r="AC60" s="188">
        <v>41</v>
      </c>
      <c r="AD60" s="202">
        <v>41</v>
      </c>
      <c r="AE60" s="205">
        <f>SUM(AE57:AE59)</f>
        <v>41</v>
      </c>
    </row>
    <row r="61" spans="1:36" x14ac:dyDescent="0.2">
      <c r="A61" s="58" t="s">
        <v>25</v>
      </c>
      <c r="B61" s="73"/>
      <c r="C61" s="73"/>
      <c r="D61" s="73"/>
      <c r="E61" s="74"/>
      <c r="F61" s="86"/>
      <c r="G61" s="86"/>
      <c r="H61" s="86"/>
      <c r="I61" s="87"/>
      <c r="J61" s="73"/>
      <c r="K61" s="73"/>
      <c r="L61" s="107"/>
      <c r="M61" s="107"/>
      <c r="N61" s="108"/>
      <c r="O61" s="108"/>
      <c r="P61" s="108"/>
      <c r="Q61" s="120"/>
      <c r="R61" s="108"/>
      <c r="S61" s="120"/>
      <c r="T61" s="108"/>
      <c r="U61" s="108"/>
      <c r="V61" s="108"/>
      <c r="W61" s="108"/>
      <c r="X61" s="108"/>
      <c r="Y61" s="182"/>
      <c r="Z61" s="108"/>
      <c r="AA61" s="108"/>
      <c r="AB61" s="108"/>
      <c r="AC61" s="108"/>
      <c r="AD61" s="198"/>
      <c r="AE61" s="192"/>
    </row>
    <row r="62" spans="1:36" x14ac:dyDescent="0.2">
      <c r="A62" s="143" t="s">
        <v>10</v>
      </c>
      <c r="B62" s="59">
        <f>B6+B11+B16+B21+B25+B30+B41+B46</f>
        <v>17377</v>
      </c>
      <c r="C62" s="59">
        <f>C6+C11+C16+C21+C25+C30+C41+C46</f>
        <v>17105</v>
      </c>
      <c r="D62" s="59">
        <f>D6+D11+D16+D21+D25+D30+D41+D46</f>
        <v>17587</v>
      </c>
      <c r="E62" s="60">
        <f>E6+E11+E16+E21+E25+E30+E41+E46</f>
        <v>17160</v>
      </c>
      <c r="F62" s="61">
        <f>F6+F11+F16+F21+F25+F30+F41+F46</f>
        <v>16992</v>
      </c>
      <c r="G62" s="61">
        <f>G6+G11+G16+G21+G25+G30+G41+G46</f>
        <v>17014</v>
      </c>
      <c r="H62" s="61">
        <f>H6+H11+H16+H21+H25+H30+H41+H46</f>
        <v>16935</v>
      </c>
      <c r="I62" s="62">
        <f>I6+I11+I16+I21+I25+I30+I41+I46</f>
        <v>16936</v>
      </c>
      <c r="J62" s="59">
        <f>J6+J11+J16+J21+J25+J30+J41+J46</f>
        <v>17532</v>
      </c>
      <c r="K62" s="59">
        <f>K6+K11+K16+K21+K25+K30+K41+K46</f>
        <v>17903</v>
      </c>
      <c r="L62" s="113">
        <f>L6+L11+L16+L21+L25+L30+L41+L46</f>
        <v>18252</v>
      </c>
      <c r="M62" s="113">
        <f>M6+M11+M16+M21+M25+M30+M41+M46</f>
        <v>18770</v>
      </c>
      <c r="N62" s="114">
        <f>N6+N11+N16+N21+N25+N30+N41+N46</f>
        <v>19048</v>
      </c>
      <c r="O62" s="114">
        <f>O6+O11+O16+O21+O25+O30+O41+O46</f>
        <v>19083</v>
      </c>
      <c r="P62" s="114">
        <f>P6+P11+P16+P21+P25+P30+P41+P46</f>
        <v>19098</v>
      </c>
      <c r="Q62" s="123">
        <f>Q6+Q11+Q16+Q21+Q25+Q30+Q41+Q46</f>
        <v>18838</v>
      </c>
      <c r="R62" s="114">
        <f>R6+R11+R16+R21+R25+R30+R41+R46</f>
        <v>18761</v>
      </c>
      <c r="S62" s="123">
        <f>S6+S11+S16+S21+S25+S30+S41+S46</f>
        <v>18544</v>
      </c>
      <c r="T62" s="114">
        <f>T6+T11+T16+T21+T25+T30+T41+T46</f>
        <v>18491</v>
      </c>
      <c r="U62" s="114">
        <f>U6+U11+U16+U21+U25+U30+U41+U46</f>
        <v>18778</v>
      </c>
      <c r="V62" s="114">
        <f>V6+V11+V16+V21+V25+V30+V41+V46</f>
        <v>19205</v>
      </c>
      <c r="W62" s="114">
        <f>W6+W11+W16+W21+W25+W30+W41+W46</f>
        <v>19385</v>
      </c>
      <c r="X62" s="114">
        <f>X6+X11+X16+X21+X25+X30+X41+X46</f>
        <v>19853</v>
      </c>
      <c r="Y62" s="114">
        <f>Y6+Y11+Y16+Y21+Y25+Y30+Y41+Y46</f>
        <v>20169</v>
      </c>
      <c r="Z62" s="114">
        <f>Z6+Z11+Z16+Z21+Z25+Z30+Z41+Z46</f>
        <v>20327</v>
      </c>
      <c r="AA62" s="114">
        <v>16257</v>
      </c>
      <c r="AB62" s="114">
        <v>15619</v>
      </c>
      <c r="AC62" s="114">
        <v>15046</v>
      </c>
      <c r="AD62" s="203">
        <v>15113</v>
      </c>
      <c r="AE62" s="139">
        <f>AE6+AE11+AE16+AE21+AE25+AE30+AE41+AE46+AE57+AE35</f>
        <v>15650</v>
      </c>
    </row>
    <row r="63" spans="1:36" x14ac:dyDescent="0.2">
      <c r="A63" s="143" t="s">
        <v>35</v>
      </c>
      <c r="B63" s="59">
        <f>B7+B12+B17+B22+B26+B31+B42+B53</f>
        <v>1748</v>
      </c>
      <c r="C63" s="59">
        <f>C7+C12+C17+C22+C26+C31+C42+C53</f>
        <v>1867</v>
      </c>
      <c r="D63" s="59">
        <f>D7+D12+D17+D22+D26+D31+D42+D53</f>
        <v>1937</v>
      </c>
      <c r="E63" s="60">
        <f>E7+E12+E17+E22+E26+E31+E42+E53</f>
        <v>2015</v>
      </c>
      <c r="F63" s="61">
        <f>F7+F12+F17+F22+F26+F31+F42+F53</f>
        <v>1956</v>
      </c>
      <c r="G63" s="61">
        <f>G7+G12+G17+G22+G26+G31+G42+G53</f>
        <v>1798</v>
      </c>
      <c r="H63" s="61">
        <f>H7+H12+H17+H22+H26+H31+H42+H53</f>
        <v>1694</v>
      </c>
      <c r="I63" s="62">
        <f>I7+I12+I17+I22+I26+I31+I42+I53</f>
        <v>1628</v>
      </c>
      <c r="J63" s="59">
        <f>J7+J12+J17+J22+J26+J31+J42+J53</f>
        <v>1666</v>
      </c>
      <c r="K63" s="59">
        <f>K7+K12+K17+K22+K26+K31+K42+K53</f>
        <v>1690</v>
      </c>
      <c r="L63" s="113">
        <f>L7+L12+L17+L22+L26+L31+L42+L53</f>
        <v>1744</v>
      </c>
      <c r="M63" s="113">
        <f>M7+M12+M17+M22+M26+M31+M42+M53</f>
        <v>1734</v>
      </c>
      <c r="N63" s="114">
        <f>N7+N12+N17+N22+N26+N31+N42+N53</f>
        <v>1853</v>
      </c>
      <c r="O63" s="114">
        <f>O7+O12+O17+O22+O26+O31+O42+O53</f>
        <v>1920</v>
      </c>
      <c r="P63" s="114">
        <f>P7+P12+P17+P22+P26+P31+P42+P53</f>
        <v>2016</v>
      </c>
      <c r="Q63" s="123">
        <f>Q7+Q12+Q17+Q22+Q26+Q31+Q42+Q53</f>
        <v>1887</v>
      </c>
      <c r="R63" s="114">
        <f>R7+R12+R17+R22+R26+R31+R42+R53</f>
        <v>1952</v>
      </c>
      <c r="S63" s="123">
        <f>S7+S12+S17+S22+S26+S31+S42+S53</f>
        <v>2223</v>
      </c>
      <c r="T63" s="114">
        <f>T7+T12+T17+T22+T31+T26+T42+T53</f>
        <v>2169</v>
      </c>
      <c r="U63" s="114">
        <f>U7+U12+U17+U22+U31+U26+U42+U53</f>
        <v>2187</v>
      </c>
      <c r="V63" s="114">
        <f>V7+V12+V17+V22+V31+V26+V42+V53</f>
        <v>2133</v>
      </c>
      <c r="W63" s="114">
        <f>W7+W12+W17+W22+W31+W26+W42+W53+W48</f>
        <v>2329</v>
      </c>
      <c r="X63" s="114">
        <f>X7+X12+X17+X22+X31+X26+X42+X53+X48</f>
        <v>2434</v>
      </c>
      <c r="Y63" s="114">
        <f>Y7+Y12+Y17+Y22+Y31+Y26+Y42+Y53+Y48</f>
        <v>2411</v>
      </c>
      <c r="Z63" s="114">
        <f>Z7+Z12+Z17+Z22+Z31+Z26+Z42+Z53+Z48</f>
        <v>2474</v>
      </c>
      <c r="AA63" s="114">
        <v>2816</v>
      </c>
      <c r="AB63" s="114">
        <v>2783</v>
      </c>
      <c r="AC63" s="114">
        <v>2859</v>
      </c>
      <c r="AD63" s="203">
        <v>2841</v>
      </c>
      <c r="AE63" s="139">
        <f>AE7+AE12+AE17+AE22+AE31+AE26+AE42+AE53+AE47+AE50+AE37+AE58</f>
        <v>2828</v>
      </c>
    </row>
    <row r="64" spans="1:36" x14ac:dyDescent="0.2">
      <c r="A64" s="143" t="s">
        <v>57</v>
      </c>
      <c r="B64" s="94">
        <f t="shared" ref="B64:Z64" si="17">B52</f>
        <v>361</v>
      </c>
      <c r="C64" s="94">
        <f t="shared" si="17"/>
        <v>360</v>
      </c>
      <c r="D64" s="94">
        <f t="shared" si="17"/>
        <v>360</v>
      </c>
      <c r="E64" s="95">
        <f t="shared" si="17"/>
        <v>355</v>
      </c>
      <c r="F64" s="96">
        <f t="shared" si="17"/>
        <v>362</v>
      </c>
      <c r="G64" s="96">
        <f t="shared" si="17"/>
        <v>366</v>
      </c>
      <c r="H64" s="96">
        <f t="shared" si="17"/>
        <v>373</v>
      </c>
      <c r="I64" s="97">
        <f t="shared" si="17"/>
        <v>384</v>
      </c>
      <c r="J64" s="94">
        <f t="shared" si="17"/>
        <v>395</v>
      </c>
      <c r="K64" s="94">
        <f t="shared" si="17"/>
        <v>396</v>
      </c>
      <c r="L64" s="113">
        <f t="shared" si="17"/>
        <v>400</v>
      </c>
      <c r="M64" s="113">
        <f t="shared" si="17"/>
        <v>401</v>
      </c>
      <c r="N64" s="114">
        <f t="shared" si="17"/>
        <v>405</v>
      </c>
      <c r="O64" s="114">
        <f t="shared" si="17"/>
        <v>433</v>
      </c>
      <c r="P64" s="114">
        <f t="shared" si="17"/>
        <v>434</v>
      </c>
      <c r="Q64" s="123">
        <f t="shared" si="17"/>
        <v>428</v>
      </c>
      <c r="R64" s="114">
        <f t="shared" si="17"/>
        <v>433</v>
      </c>
      <c r="S64" s="123">
        <f t="shared" si="17"/>
        <v>428</v>
      </c>
      <c r="T64" s="114">
        <f t="shared" si="17"/>
        <v>439</v>
      </c>
      <c r="U64" s="114">
        <f t="shared" si="17"/>
        <v>437</v>
      </c>
      <c r="V64" s="114">
        <f t="shared" si="17"/>
        <v>462</v>
      </c>
      <c r="W64" s="114">
        <f t="shared" si="17"/>
        <v>457</v>
      </c>
      <c r="X64" s="114">
        <f t="shared" si="17"/>
        <v>464</v>
      </c>
      <c r="Y64" s="114">
        <f t="shared" si="17"/>
        <v>465</v>
      </c>
      <c r="Z64" s="114">
        <f t="shared" si="17"/>
        <v>476</v>
      </c>
      <c r="AA64" s="114">
        <v>477</v>
      </c>
      <c r="AB64" s="114">
        <v>476</v>
      </c>
      <c r="AC64" s="114">
        <v>480</v>
      </c>
      <c r="AD64" s="203">
        <v>476</v>
      </c>
      <c r="AE64" s="139">
        <f>AE52</f>
        <v>493</v>
      </c>
    </row>
    <row r="65" spans="1:31" x14ac:dyDescent="0.2">
      <c r="A65" s="143" t="s">
        <v>51</v>
      </c>
      <c r="B65" s="59">
        <f>B8+B18+B27+B32+B43+B54</f>
        <v>908</v>
      </c>
      <c r="C65" s="59">
        <f>C8+C18+C27+C32+C43+C54</f>
        <v>886</v>
      </c>
      <c r="D65" s="59">
        <f>D8+D18+D27+D32+D43+D54</f>
        <v>933</v>
      </c>
      <c r="E65" s="60">
        <f>E8+E18+E27+E32+E43+E54</f>
        <v>931</v>
      </c>
      <c r="F65" s="61">
        <f>F8+F18+F27+F32+F43+F54</f>
        <v>977</v>
      </c>
      <c r="G65" s="61">
        <f>G8+G18+G27+G32+G43+G54</f>
        <v>973</v>
      </c>
      <c r="H65" s="61">
        <f>H8+H18+H27+H32+H43+H54</f>
        <v>914</v>
      </c>
      <c r="I65" s="62">
        <f>I8+I18+I27+I32+I43+I54</f>
        <v>912</v>
      </c>
      <c r="J65" s="59">
        <f>J8+J18+J27+J32+J43+J54</f>
        <v>901</v>
      </c>
      <c r="K65" s="59">
        <f>K8+K18+K27+K32+K43+K54</f>
        <v>943</v>
      </c>
      <c r="L65" s="113">
        <f>L8+L18+L27+L32+L43+L54</f>
        <v>941</v>
      </c>
      <c r="M65" s="113">
        <f>M8+M18+M27+M32+M43+M54</f>
        <v>904</v>
      </c>
      <c r="N65" s="114">
        <f>N8+N18+N27+N32+N43+N54</f>
        <v>941</v>
      </c>
      <c r="O65" s="114">
        <f>O8+O18+O27+O32+O43+O54</f>
        <v>959</v>
      </c>
      <c r="P65" s="114">
        <f>P8+P18+P27+P32+P43+P54</f>
        <v>976</v>
      </c>
      <c r="Q65" s="123">
        <f>Q8+Q18+Q27+Q32+Q43+Q54</f>
        <v>1000</v>
      </c>
      <c r="R65" s="114">
        <f>R8+R18+R27+R32+R43+R54</f>
        <v>978</v>
      </c>
      <c r="S65" s="123">
        <f>S8+S18+S27+S32+S43+S54+S13</f>
        <v>1021</v>
      </c>
      <c r="T65" s="114">
        <f>T8+T18+T27+T32+T43+T54+T13</f>
        <v>1024</v>
      </c>
      <c r="U65" s="114">
        <f>U8+U18+U27+U32+U43+U54+U13</f>
        <v>1051</v>
      </c>
      <c r="V65" s="114">
        <f>V8+V18+V27+V32+V43+V54+V13</f>
        <v>1089</v>
      </c>
      <c r="W65" s="114">
        <f>W8+W18+W27+W32+W43+W54+W13</f>
        <v>1099</v>
      </c>
      <c r="X65" s="114">
        <f>X8+X18+X27+X32+X43+X54+X13</f>
        <v>1160</v>
      </c>
      <c r="Y65" s="114">
        <f>Y8+Y18+Y27+Y32+Y43+Y54+Y13</f>
        <v>1145</v>
      </c>
      <c r="Z65" s="114">
        <f>Z8+Z18+Z27+Z32+Z43+Z54+Z13</f>
        <v>1144</v>
      </c>
      <c r="AA65" s="114">
        <v>1304</v>
      </c>
      <c r="AB65" s="114">
        <v>1351</v>
      </c>
      <c r="AC65" s="114">
        <v>1337</v>
      </c>
      <c r="AD65" s="203">
        <v>1315</v>
      </c>
      <c r="AE65" s="139">
        <f>AE8+AE18+AE27+AE32+AE43+AE54+AE13+AE38+AE59</f>
        <v>1324</v>
      </c>
    </row>
    <row r="66" spans="1:31" ht="13.5" thickBot="1" x14ac:dyDescent="0.25">
      <c r="A66" s="144" t="s">
        <v>29</v>
      </c>
      <c r="B66" s="63">
        <f t="shared" ref="B66:Z66" si="18">SUM(B62:B65)</f>
        <v>20394</v>
      </c>
      <c r="C66" s="63">
        <f t="shared" si="18"/>
        <v>20218</v>
      </c>
      <c r="D66" s="63">
        <f t="shared" si="18"/>
        <v>20817</v>
      </c>
      <c r="E66" s="64">
        <f t="shared" si="18"/>
        <v>20461</v>
      </c>
      <c r="F66" s="65">
        <f t="shared" si="18"/>
        <v>20287</v>
      </c>
      <c r="G66" s="65">
        <f t="shared" si="18"/>
        <v>20151</v>
      </c>
      <c r="H66" s="65">
        <f t="shared" si="18"/>
        <v>19916</v>
      </c>
      <c r="I66" s="66">
        <f t="shared" si="18"/>
        <v>19860</v>
      </c>
      <c r="J66" s="63">
        <f t="shared" si="18"/>
        <v>20494</v>
      </c>
      <c r="K66" s="63">
        <f t="shared" si="18"/>
        <v>20932</v>
      </c>
      <c r="L66" s="115">
        <f t="shared" si="18"/>
        <v>21337</v>
      </c>
      <c r="M66" s="115">
        <f t="shared" si="18"/>
        <v>21809</v>
      </c>
      <c r="N66" s="116">
        <f t="shared" si="18"/>
        <v>22247</v>
      </c>
      <c r="O66" s="116">
        <f t="shared" si="18"/>
        <v>22395</v>
      </c>
      <c r="P66" s="116">
        <f t="shared" si="18"/>
        <v>22524</v>
      </c>
      <c r="Q66" s="124">
        <f t="shared" si="18"/>
        <v>22153</v>
      </c>
      <c r="R66" s="116">
        <f t="shared" si="18"/>
        <v>22124</v>
      </c>
      <c r="S66" s="124">
        <f t="shared" si="18"/>
        <v>22216</v>
      </c>
      <c r="T66" s="116">
        <f t="shared" si="18"/>
        <v>22123</v>
      </c>
      <c r="U66" s="116">
        <f t="shared" si="18"/>
        <v>22453</v>
      </c>
      <c r="V66" s="116">
        <f t="shared" si="18"/>
        <v>22889</v>
      </c>
      <c r="W66" s="116">
        <f t="shared" si="18"/>
        <v>23270</v>
      </c>
      <c r="X66" s="116">
        <f t="shared" si="18"/>
        <v>23911</v>
      </c>
      <c r="Y66" s="116">
        <f t="shared" si="18"/>
        <v>24190</v>
      </c>
      <c r="Z66" s="116">
        <f t="shared" si="18"/>
        <v>24421</v>
      </c>
      <c r="AA66" s="116">
        <v>20854</v>
      </c>
      <c r="AB66" s="116">
        <v>20229</v>
      </c>
      <c r="AC66" s="116">
        <v>19722</v>
      </c>
      <c r="AD66" s="204">
        <v>19745</v>
      </c>
      <c r="AE66" s="140">
        <f>SUM(AE62:AE65)</f>
        <v>20295</v>
      </c>
    </row>
    <row r="67" spans="1:31" ht="13.5" thickTop="1" x14ac:dyDescent="0.2">
      <c r="A67" s="67" t="s">
        <v>40</v>
      </c>
      <c r="B67" s="67"/>
      <c r="C67" s="67"/>
      <c r="D67" s="67"/>
      <c r="E67" s="67"/>
      <c r="F67" s="67"/>
      <c r="G67" s="67"/>
      <c r="Q67" s="75"/>
      <c r="R67" s="75"/>
      <c r="S67" s="75"/>
    </row>
    <row r="68" spans="1:31" x14ac:dyDescent="0.2">
      <c r="A68" s="117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1"/>
    <pageSetUpPr fitToPage="1"/>
  </sheetPr>
  <dimension ref="A1:L51"/>
  <sheetViews>
    <sheetView tabSelected="1" view="pageBreakPreview" zoomScale="90" zoomScaleNormal="100" workbookViewId="0">
      <selection activeCell="N22" sqref="N22"/>
    </sheetView>
  </sheetViews>
  <sheetFormatPr defaultRowHeight="12.75" x14ac:dyDescent="0.2"/>
  <cols>
    <col min="9" max="9" width="11.140625" customWidth="1"/>
  </cols>
  <sheetData>
    <row r="1" spans="1:9" x14ac:dyDescent="0.2">
      <c r="A1" s="145"/>
      <c r="B1" s="145"/>
      <c r="C1" s="145"/>
      <c r="D1" s="145"/>
      <c r="E1" s="145"/>
      <c r="F1" s="145"/>
      <c r="G1" s="145"/>
      <c r="H1" s="145"/>
      <c r="I1" s="145"/>
    </row>
    <row r="2" spans="1:9" x14ac:dyDescent="0.2">
      <c r="A2" s="219"/>
      <c r="B2" s="219"/>
      <c r="C2" s="219"/>
      <c r="D2" s="219"/>
      <c r="E2" s="219"/>
      <c r="F2" s="219"/>
      <c r="G2" s="219"/>
      <c r="H2" s="219"/>
      <c r="I2" s="219"/>
    </row>
    <row r="26" spans="12:12" x14ac:dyDescent="0.2">
      <c r="L26" t="s">
        <v>38</v>
      </c>
    </row>
    <row r="34" spans="1:1" x14ac:dyDescent="0.2">
      <c r="A34" t="s">
        <v>54</v>
      </c>
    </row>
    <row r="50" ht="15.75" customHeight="1" x14ac:dyDescent="0.2"/>
    <row r="51" ht="32.25" customHeight="1" x14ac:dyDescent="0.2"/>
  </sheetData>
  <mergeCells count="1">
    <mergeCell ref="A2:I2"/>
  </mergeCells>
  <phoneticPr fontId="0" type="noConversion"/>
  <printOptions horizontalCentered="1"/>
  <pageMargins left="0.56000000000000005" right="0.75" top="0.75" bottom="0.75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11"/>
  </sheetPr>
  <dimension ref="A1:AK130"/>
  <sheetViews>
    <sheetView topLeftCell="A47" zoomScaleNormal="100" zoomScaleSheetLayoutView="115" workbookViewId="0">
      <selection activeCell="AF73" sqref="AF73"/>
    </sheetView>
  </sheetViews>
  <sheetFormatPr defaultRowHeight="12.75" x14ac:dyDescent="0.2"/>
  <cols>
    <col min="1" max="1" width="1.5703125" customWidth="1"/>
    <col min="2" max="2" width="20.7109375" customWidth="1"/>
    <col min="3" max="9" width="9.28515625" hidden="1" customWidth="1"/>
    <col min="10" max="10" width="10.28515625" hidden="1" customWidth="1"/>
    <col min="11" max="11" width="11.140625" hidden="1" customWidth="1"/>
    <col min="12" max="12" width="11.28515625" hidden="1" customWidth="1"/>
    <col min="13" max="13" width="12" hidden="1" customWidth="1"/>
    <col min="14" max="14" width="10.5703125" hidden="1" customWidth="1"/>
    <col min="15" max="18" width="9.28515625" hidden="1" customWidth="1"/>
    <col min="19" max="20" width="9.5703125" hidden="1" customWidth="1"/>
    <col min="21" max="27" width="0" hidden="1" customWidth="1"/>
    <col min="29" max="29" width="9.140625" customWidth="1"/>
    <col min="32" max="32" width="9.140625" customWidth="1"/>
    <col min="34" max="34" width="0" hidden="1" customWidth="1"/>
  </cols>
  <sheetData>
    <row r="1" spans="1:32" ht="7.5" customHeight="1" thickBo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32" ht="19.5" thickTop="1" thickBot="1" x14ac:dyDescent="0.3">
      <c r="B2" s="159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1"/>
      <c r="X2" s="161"/>
      <c r="Y2" s="161"/>
      <c r="Z2" s="161"/>
      <c r="AA2" s="161"/>
      <c r="AB2" s="161"/>
      <c r="AC2" s="161"/>
      <c r="AD2" s="161"/>
      <c r="AE2" s="195"/>
      <c r="AF2" s="194"/>
    </row>
    <row r="3" spans="1:32" ht="24" customHeight="1" thickTop="1" x14ac:dyDescent="0.25">
      <c r="B3" s="1" t="s">
        <v>1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157" t="s">
        <v>2</v>
      </c>
      <c r="S3" s="157"/>
      <c r="T3" s="157"/>
      <c r="U3" s="157"/>
      <c r="V3" s="157"/>
      <c r="W3" s="165"/>
      <c r="X3" s="165"/>
      <c r="Y3" s="165"/>
      <c r="Z3" s="165"/>
      <c r="AA3" s="165"/>
      <c r="AB3" s="165"/>
      <c r="AC3" s="165"/>
      <c r="AD3" s="165"/>
      <c r="AE3" s="165"/>
      <c r="AF3" s="78"/>
    </row>
    <row r="4" spans="1:32" ht="13.5" customHeight="1" thickBot="1" x14ac:dyDescent="0.25">
      <c r="B4" s="98" t="s">
        <v>3</v>
      </c>
      <c r="C4" s="99" t="s">
        <v>4</v>
      </c>
      <c r="D4" s="100" t="s">
        <v>5</v>
      </c>
      <c r="E4" s="101" t="s">
        <v>6</v>
      </c>
      <c r="F4" s="100" t="s">
        <v>7</v>
      </c>
      <c r="G4" s="101" t="s">
        <v>8</v>
      </c>
      <c r="H4" s="100" t="s">
        <v>9</v>
      </c>
      <c r="I4" s="100">
        <v>1996</v>
      </c>
      <c r="J4" s="101">
        <v>1997</v>
      </c>
      <c r="K4" s="99">
        <v>1998</v>
      </c>
      <c r="L4" s="99">
        <v>1999</v>
      </c>
      <c r="M4" s="99">
        <v>2000</v>
      </c>
      <c r="N4" s="99">
        <v>2001</v>
      </c>
      <c r="O4" s="100">
        <v>2002</v>
      </c>
      <c r="P4" s="100">
        <v>2003</v>
      </c>
      <c r="Q4" s="100">
        <v>2004</v>
      </c>
      <c r="R4" s="100">
        <v>2005</v>
      </c>
      <c r="S4" s="100">
        <v>2006</v>
      </c>
      <c r="T4" s="99">
        <v>2007</v>
      </c>
      <c r="U4" s="100">
        <v>2008</v>
      </c>
      <c r="V4" s="100">
        <v>2009</v>
      </c>
      <c r="W4" s="100">
        <v>2010</v>
      </c>
      <c r="X4" s="100">
        <v>2011</v>
      </c>
      <c r="Y4" s="100">
        <v>2012</v>
      </c>
      <c r="Z4" s="100">
        <v>2013</v>
      </c>
      <c r="AA4" s="100">
        <v>2014</v>
      </c>
      <c r="AB4" s="206">
        <v>2020</v>
      </c>
      <c r="AC4" s="207">
        <v>2021</v>
      </c>
      <c r="AD4" s="206">
        <v>2022</v>
      </c>
      <c r="AE4" s="208">
        <v>2023</v>
      </c>
      <c r="AF4" s="212">
        <v>2024</v>
      </c>
    </row>
    <row r="5" spans="1:32" ht="13.5" thickTop="1" x14ac:dyDescent="0.2">
      <c r="B5" s="2" t="s">
        <v>10</v>
      </c>
      <c r="C5" s="3">
        <f t="shared" ref="C5:J5" si="0">SUM(C6:C7)</f>
        <v>17377</v>
      </c>
      <c r="D5" s="4">
        <f t="shared" si="0"/>
        <v>17105</v>
      </c>
      <c r="E5" s="3">
        <f t="shared" si="0"/>
        <v>17587</v>
      </c>
      <c r="F5" s="4">
        <f t="shared" si="0"/>
        <v>17160</v>
      </c>
      <c r="G5" s="3">
        <f t="shared" si="0"/>
        <v>16992</v>
      </c>
      <c r="H5" s="4">
        <f t="shared" si="0"/>
        <v>17014</v>
      </c>
      <c r="I5" s="4">
        <f t="shared" si="0"/>
        <v>16935</v>
      </c>
      <c r="J5" s="5">
        <f t="shared" si="0"/>
        <v>16936</v>
      </c>
      <c r="K5" s="6">
        <f>SUM(K6:K7)</f>
        <v>17532</v>
      </c>
      <c r="L5" s="6">
        <f>SUM(L6:L7)</f>
        <v>17903</v>
      </c>
      <c r="M5" s="6">
        <f>SUM(M6:M7)</f>
        <v>18252</v>
      </c>
      <c r="N5" s="6">
        <v>18770</v>
      </c>
      <c r="O5" s="102">
        <f t="shared" ref="O5:T5" si="1">SUM(O6:O7)</f>
        <v>19048</v>
      </c>
      <c r="P5" s="126">
        <f t="shared" si="1"/>
        <v>19083</v>
      </c>
      <c r="Q5" s="60">
        <f t="shared" si="1"/>
        <v>19098</v>
      </c>
      <c r="R5" s="60">
        <f t="shared" si="1"/>
        <v>18838</v>
      </c>
      <c r="S5" s="60">
        <f>SUM(S6:S7)</f>
        <v>18762</v>
      </c>
      <c r="T5" s="59">
        <f t="shared" si="1"/>
        <v>18544</v>
      </c>
      <c r="U5" s="60">
        <f t="shared" ref="U5:Z5" si="2">SUM(U6:U7)</f>
        <v>18491</v>
      </c>
      <c r="V5" s="60">
        <f t="shared" si="2"/>
        <v>18778</v>
      </c>
      <c r="W5" s="60">
        <f t="shared" si="2"/>
        <v>19205</v>
      </c>
      <c r="X5" s="175">
        <f t="shared" si="2"/>
        <v>19385</v>
      </c>
      <c r="Y5" s="60">
        <f t="shared" si="2"/>
        <v>19853</v>
      </c>
      <c r="Z5" s="60">
        <f t="shared" si="2"/>
        <v>20169</v>
      </c>
      <c r="AA5" s="60">
        <f t="shared" ref="AA5" si="3">SUM(AA6:AA7)</f>
        <v>20327</v>
      </c>
      <c r="AB5" s="209">
        <v>16257</v>
      </c>
      <c r="AC5" s="210">
        <v>15619</v>
      </c>
      <c r="AD5" s="209">
        <v>15046</v>
      </c>
      <c r="AE5" s="209">
        <v>15113</v>
      </c>
      <c r="AF5" s="211">
        <f>SUM(AF6:AF7)</f>
        <v>15650</v>
      </c>
    </row>
    <row r="6" spans="1:32" x14ac:dyDescent="0.2">
      <c r="B6" s="181" t="s">
        <v>52</v>
      </c>
      <c r="C6" s="8">
        <f>8128+6899</f>
        <v>15027</v>
      </c>
      <c r="D6" s="9">
        <f>8084+6870</f>
        <v>14954</v>
      </c>
      <c r="E6" s="8">
        <f>7916+6840+318+73</f>
        <v>15147</v>
      </c>
      <c r="F6" s="9">
        <f>7756+6753+327+78</f>
        <v>14914</v>
      </c>
      <c r="G6" s="8">
        <f>7618+6681+336+86</f>
        <v>14721</v>
      </c>
      <c r="H6" s="9">
        <f>7694+6647+357+90</f>
        <v>14788</v>
      </c>
      <c r="I6" s="9">
        <v>14238</v>
      </c>
      <c r="J6" s="10">
        <v>14442</v>
      </c>
      <c r="K6" s="11">
        <v>14511</v>
      </c>
      <c r="L6" s="11">
        <v>15363</v>
      </c>
      <c r="M6" s="11">
        <v>15780</v>
      </c>
      <c r="N6" s="12">
        <v>16105</v>
      </c>
      <c r="O6" s="13">
        <f>4403+3649+3750+4397+227+40</f>
        <v>16466</v>
      </c>
      <c r="P6" s="104">
        <v>16285</v>
      </c>
      <c r="Q6" s="77">
        <f>4299+3633+3684+4791+233+40</f>
        <v>16680</v>
      </c>
      <c r="R6" s="77">
        <v>16519</v>
      </c>
      <c r="S6" s="77">
        <v>16511</v>
      </c>
      <c r="T6" s="168">
        <v>16349</v>
      </c>
      <c r="U6" s="167">
        <v>16186</v>
      </c>
      <c r="V6" s="167">
        <v>16510</v>
      </c>
      <c r="W6" s="167">
        <v>17029</v>
      </c>
      <c r="X6" s="176">
        <v>17245</v>
      </c>
      <c r="Y6" s="167">
        <v>17798</v>
      </c>
      <c r="Z6" s="167">
        <v>18110</v>
      </c>
      <c r="AA6" s="167">
        <v>18258</v>
      </c>
      <c r="AB6" s="167">
        <v>14497</v>
      </c>
      <c r="AC6" s="176">
        <v>13936</v>
      </c>
      <c r="AD6" s="167">
        <v>13462</v>
      </c>
      <c r="AE6" s="167">
        <v>13553</v>
      </c>
      <c r="AF6" s="192">
        <v>13976</v>
      </c>
    </row>
    <row r="7" spans="1:32" x14ac:dyDescent="0.2">
      <c r="B7" s="7" t="s">
        <v>12</v>
      </c>
      <c r="C7" s="8">
        <f>1140+1210</f>
        <v>2350</v>
      </c>
      <c r="D7" s="9">
        <f>1136+1015</f>
        <v>2151</v>
      </c>
      <c r="E7" s="8">
        <f>1106+952+190+192</f>
        <v>2440</v>
      </c>
      <c r="F7" s="9">
        <f>951+975+176+144</f>
        <v>2246</v>
      </c>
      <c r="G7" s="8">
        <f>1007+928+186+150</f>
        <v>2271</v>
      </c>
      <c r="H7" s="9">
        <f>918+960+178+170</f>
        <v>2226</v>
      </c>
      <c r="I7" s="9">
        <v>2697</v>
      </c>
      <c r="J7" s="10">
        <v>2494</v>
      </c>
      <c r="K7" s="11">
        <v>3021</v>
      </c>
      <c r="L7" s="11">
        <v>2540</v>
      </c>
      <c r="M7" s="11">
        <v>2472</v>
      </c>
      <c r="N7" s="12">
        <v>2665</v>
      </c>
      <c r="O7" s="13">
        <f>673+327+399+861+29+293</f>
        <v>2582</v>
      </c>
      <c r="P7" s="104">
        <v>2798</v>
      </c>
      <c r="Q7" s="77">
        <f>633+306+342+895+24+218</f>
        <v>2418</v>
      </c>
      <c r="R7" s="77">
        <v>2319</v>
      </c>
      <c r="S7" s="77">
        <v>2251</v>
      </c>
      <c r="T7" s="168">
        <v>2195</v>
      </c>
      <c r="U7" s="167">
        <v>2305</v>
      </c>
      <c r="V7" s="167">
        <v>2268</v>
      </c>
      <c r="W7" s="167">
        <v>2176</v>
      </c>
      <c r="X7" s="176">
        <v>2140</v>
      </c>
      <c r="Y7" s="167">
        <v>2055</v>
      </c>
      <c r="Z7" s="167">
        <v>2059</v>
      </c>
      <c r="AA7" s="167">
        <v>2069</v>
      </c>
      <c r="AB7" s="167">
        <v>1760</v>
      </c>
      <c r="AC7" s="176">
        <v>1683</v>
      </c>
      <c r="AD7" s="167">
        <v>1584</v>
      </c>
      <c r="AE7" s="167">
        <v>1560</v>
      </c>
      <c r="AF7" s="192">
        <v>1674</v>
      </c>
    </row>
    <row r="8" spans="1:32" x14ac:dyDescent="0.2">
      <c r="B8" s="7" t="s">
        <v>13</v>
      </c>
      <c r="C8" s="8">
        <f>4935+3082+2883+3616+124+108</f>
        <v>14748</v>
      </c>
      <c r="D8" s="9">
        <f>4405+2940+3010+3996+131+115</f>
        <v>14597</v>
      </c>
      <c r="E8" s="8">
        <f>4286+2967+2989+4113+139+65+742</f>
        <v>15301</v>
      </c>
      <c r="F8" s="9">
        <f>3993+2912+2948+4138+129+59+699</f>
        <v>14878</v>
      </c>
      <c r="G8" s="8">
        <f>4359+3043+3067+4105+111+151</f>
        <v>14836</v>
      </c>
      <c r="H8" s="9">
        <f>4427+3088+3080+4126+124+144</f>
        <v>14989</v>
      </c>
      <c r="I8" s="9">
        <v>15093</v>
      </c>
      <c r="J8" s="10">
        <v>15145</v>
      </c>
      <c r="K8" s="11">
        <v>15687</v>
      </c>
      <c r="L8" s="11">
        <v>16090</v>
      </c>
      <c r="M8" s="11">
        <f>4707+3534+3565+4582+127+59+28+67+699</f>
        <v>17368</v>
      </c>
      <c r="N8" s="14">
        <v>16629</v>
      </c>
      <c r="O8" s="15">
        <f>4409+3577+3715+4791+159+252</f>
        <v>16903</v>
      </c>
      <c r="P8" s="105">
        <v>16772</v>
      </c>
      <c r="Q8" s="77">
        <f>4214+3508+3594+5032+152+184</f>
        <v>16684</v>
      </c>
      <c r="R8" s="77">
        <v>16317</v>
      </c>
      <c r="S8" s="77">
        <v>16060</v>
      </c>
      <c r="T8" s="168">
        <v>15686</v>
      </c>
      <c r="U8" s="167">
        <v>15290</v>
      </c>
      <c r="V8" s="167">
        <v>15105</v>
      </c>
      <c r="W8" s="167">
        <v>15270</v>
      </c>
      <c r="X8" s="176">
        <v>15270</v>
      </c>
      <c r="Y8" s="167">
        <v>15477</v>
      </c>
      <c r="Z8" s="167">
        <v>15626</v>
      </c>
      <c r="AA8" s="167">
        <v>15577</v>
      </c>
      <c r="AB8" s="167">
        <v>12399</v>
      </c>
      <c r="AC8" s="176">
        <v>11818</v>
      </c>
      <c r="AD8" s="167">
        <v>11273</v>
      </c>
      <c r="AE8" s="167">
        <v>11470</v>
      </c>
      <c r="AF8" s="192">
        <v>11672</v>
      </c>
    </row>
    <row r="9" spans="1:32" x14ac:dyDescent="0.2">
      <c r="B9" s="7" t="s">
        <v>14</v>
      </c>
      <c r="C9" s="8">
        <f>877+557+443+545+113+94</f>
        <v>2629</v>
      </c>
      <c r="D9" s="9">
        <f>667+534+506+597+139+65</f>
        <v>2508</v>
      </c>
      <c r="E9" s="8">
        <f>640+373+452+604+125+61+31</f>
        <v>2286</v>
      </c>
      <c r="F9" s="9">
        <f>648+400+424+563+148+73+26</f>
        <v>2282</v>
      </c>
      <c r="G9" s="8">
        <f>615+404+381+562+134+60</f>
        <v>2156</v>
      </c>
      <c r="H9" s="9">
        <f>573+361+395+494+124+78</f>
        <v>2025</v>
      </c>
      <c r="I9" s="9">
        <v>1842</v>
      </c>
      <c r="J9" s="10">
        <v>1791</v>
      </c>
      <c r="K9" s="11">
        <v>1845</v>
      </c>
      <c r="L9" s="11">
        <v>1813</v>
      </c>
      <c r="M9" s="11">
        <f>1387+245</f>
        <v>1632</v>
      </c>
      <c r="N9" s="14">
        <v>2141</v>
      </c>
      <c r="O9" s="15">
        <f>667+399+434+467+97+81</f>
        <v>2145</v>
      </c>
      <c r="P9" s="105">
        <v>3031</v>
      </c>
      <c r="Q9" s="77">
        <f>718+431+432+654+105+74</f>
        <v>2414</v>
      </c>
      <c r="R9" s="77">
        <v>2521</v>
      </c>
      <c r="S9" s="77">
        <f>4648+65-1776-235</f>
        <v>2702</v>
      </c>
      <c r="T9" s="168">
        <v>2858</v>
      </c>
      <c r="U9" s="167">
        <v>3201</v>
      </c>
      <c r="V9" s="167">
        <v>3673</v>
      </c>
      <c r="W9" s="167">
        <v>3935</v>
      </c>
      <c r="X9" s="176">
        <v>4115</v>
      </c>
      <c r="Y9" s="167">
        <v>4376</v>
      </c>
      <c r="Z9" s="167">
        <v>4543</v>
      </c>
      <c r="AA9" s="167">
        <v>4750</v>
      </c>
      <c r="AB9" s="167">
        <v>3858</v>
      </c>
      <c r="AC9" s="176">
        <v>3801</v>
      </c>
      <c r="AD9" s="167">
        <v>3773</v>
      </c>
      <c r="AE9" s="167">
        <v>3643</v>
      </c>
      <c r="AF9" s="192">
        <v>3978</v>
      </c>
    </row>
    <row r="10" spans="1:32" x14ac:dyDescent="0.2">
      <c r="B10" s="7" t="s">
        <v>15</v>
      </c>
      <c r="C10" s="8">
        <f>8128+1140</f>
        <v>9268</v>
      </c>
      <c r="D10" s="9">
        <f>1136+8084</f>
        <v>9220</v>
      </c>
      <c r="E10" s="8">
        <f>1106+7916+318+190</f>
        <v>9530</v>
      </c>
      <c r="F10" s="9">
        <f>951+7756+176+327</f>
        <v>9210</v>
      </c>
      <c r="G10" s="8">
        <f>7618+1007+336+186</f>
        <v>9147</v>
      </c>
      <c r="H10" s="9">
        <f>918+7694+357+178</f>
        <v>9147</v>
      </c>
      <c r="I10" s="9">
        <v>9061</v>
      </c>
      <c r="J10" s="10">
        <v>9046</v>
      </c>
      <c r="K10" s="11">
        <v>9315</v>
      </c>
      <c r="L10" s="11">
        <v>9517</v>
      </c>
      <c r="M10" s="11">
        <f>1226+8422</f>
        <v>9648</v>
      </c>
      <c r="N10" s="14">
        <v>9856</v>
      </c>
      <c r="O10" s="15">
        <f>2630+2009+2148+2882+176+155</f>
        <v>10000</v>
      </c>
      <c r="P10" s="105">
        <v>9861</v>
      </c>
      <c r="Q10" s="77">
        <f>2505+2001+2067+2920+169+106</f>
        <v>9768</v>
      </c>
      <c r="R10" s="77">
        <v>9574</v>
      </c>
      <c r="S10" s="77">
        <f>10879+546-1689-124</f>
        <v>9612</v>
      </c>
      <c r="T10" s="168">
        <v>9571</v>
      </c>
      <c r="U10" s="167">
        <v>9563</v>
      </c>
      <c r="V10" s="167">
        <v>9730</v>
      </c>
      <c r="W10" s="167">
        <v>9979</v>
      </c>
      <c r="X10" s="176">
        <v>10141</v>
      </c>
      <c r="Y10" s="167">
        <v>10395</v>
      </c>
      <c r="Z10" s="167">
        <v>10503</v>
      </c>
      <c r="AA10" s="167">
        <v>10607</v>
      </c>
      <c r="AB10" s="167">
        <v>8300</v>
      </c>
      <c r="AC10" s="176">
        <v>7861</v>
      </c>
      <c r="AD10" s="167">
        <v>7487</v>
      </c>
      <c r="AE10" s="167">
        <v>7430</v>
      </c>
      <c r="AF10" s="192">
        <v>7601</v>
      </c>
    </row>
    <row r="11" spans="1:32" x14ac:dyDescent="0.2">
      <c r="B11" s="7" t="s">
        <v>16</v>
      </c>
      <c r="C11" s="8">
        <f>1210+6899</f>
        <v>8109</v>
      </c>
      <c r="D11" s="9">
        <f>6870+1015</f>
        <v>7885</v>
      </c>
      <c r="E11" s="8">
        <f>952+6840+73+192</f>
        <v>8057</v>
      </c>
      <c r="F11" s="9">
        <f>6753+975+78+144</f>
        <v>7950</v>
      </c>
      <c r="G11" s="8">
        <f>928+6681+86+150</f>
        <v>7845</v>
      </c>
      <c r="H11" s="9">
        <f>6647+960+90+170</f>
        <v>7867</v>
      </c>
      <c r="I11" s="9">
        <v>7874</v>
      </c>
      <c r="J11" s="10">
        <v>7890</v>
      </c>
      <c r="K11" s="11">
        <v>8217</v>
      </c>
      <c r="L11" s="11">
        <v>8386</v>
      </c>
      <c r="M11" s="11">
        <f>7358+1246</f>
        <v>8604</v>
      </c>
      <c r="N11" s="14">
        <v>8914</v>
      </c>
      <c r="O11" s="15">
        <f>2446+1967+2001+2376+80+178</f>
        <v>9048</v>
      </c>
      <c r="P11" s="105">
        <v>9222</v>
      </c>
      <c r="Q11" s="77">
        <f>2427+1938+1959+2766+88+152</f>
        <v>9330</v>
      </c>
      <c r="R11" s="77">
        <v>9264</v>
      </c>
      <c r="S11" s="77">
        <v>9150</v>
      </c>
      <c r="T11" s="168">
        <v>8973</v>
      </c>
      <c r="U11" s="167">
        <v>8928</v>
      </c>
      <c r="V11" s="167">
        <v>9048</v>
      </c>
      <c r="W11" s="167">
        <v>9226</v>
      </c>
      <c r="X11" s="176">
        <v>9244</v>
      </c>
      <c r="Y11" s="167">
        <v>9458</v>
      </c>
      <c r="Z11" s="167">
        <v>9666</v>
      </c>
      <c r="AA11" s="167">
        <v>9720</v>
      </c>
      <c r="AB11" s="167">
        <v>7957</v>
      </c>
      <c r="AC11" s="176">
        <v>7758</v>
      </c>
      <c r="AD11" s="167">
        <v>7559</v>
      </c>
      <c r="AE11" s="167">
        <v>7683</v>
      </c>
      <c r="AF11" s="192">
        <v>8048</v>
      </c>
    </row>
    <row r="12" spans="1:32" x14ac:dyDescent="0.2">
      <c r="B12" s="181" t="s">
        <v>59</v>
      </c>
      <c r="C12" s="8"/>
      <c r="D12" s="9"/>
      <c r="E12" s="8"/>
      <c r="F12" s="9"/>
      <c r="G12" s="8"/>
      <c r="H12" s="9"/>
      <c r="I12" s="9"/>
      <c r="J12" s="10"/>
      <c r="K12" s="11"/>
      <c r="L12" s="11"/>
      <c r="M12" s="11"/>
      <c r="N12" s="14"/>
      <c r="O12" s="15"/>
      <c r="P12" s="105"/>
      <c r="Q12" s="77"/>
      <c r="R12" s="77"/>
      <c r="S12" s="77"/>
      <c r="T12" s="168"/>
      <c r="U12" s="167"/>
      <c r="V12" s="167"/>
      <c r="W12" s="167"/>
      <c r="X12" s="176"/>
      <c r="Y12" s="167"/>
      <c r="Z12" s="167"/>
      <c r="AA12" s="167"/>
      <c r="AB12" s="167">
        <v>0</v>
      </c>
      <c r="AC12" s="176">
        <v>0</v>
      </c>
      <c r="AD12" s="167">
        <v>0</v>
      </c>
      <c r="AE12" s="167">
        <v>0</v>
      </c>
      <c r="AF12" s="192">
        <v>1</v>
      </c>
    </row>
    <row r="13" spans="1:32" x14ac:dyDescent="0.2">
      <c r="B13" s="27" t="s">
        <v>45</v>
      </c>
      <c r="C13" s="8"/>
      <c r="D13" s="9"/>
      <c r="E13" s="8"/>
      <c r="F13" s="9"/>
      <c r="G13" s="8"/>
      <c r="H13" s="9"/>
      <c r="I13" s="9"/>
      <c r="J13" s="10">
        <f>3673+1450+79+1+35</f>
        <v>5238</v>
      </c>
      <c r="K13" s="11">
        <f>4119+1680+74+5+82</f>
        <v>5960</v>
      </c>
      <c r="L13" s="11">
        <f>4332+1842+96+7+62</f>
        <v>6339</v>
      </c>
      <c r="M13" s="11">
        <f>4382+1818+88+8+77</f>
        <v>6373</v>
      </c>
      <c r="N13" s="14">
        <v>6515</v>
      </c>
      <c r="O13" s="15">
        <v>6448</v>
      </c>
      <c r="P13" s="105">
        <v>6369</v>
      </c>
      <c r="Q13" s="77">
        <f>4215+1983+116+11+160</f>
        <v>6485</v>
      </c>
      <c r="R13" s="77">
        <v>6282</v>
      </c>
      <c r="S13" s="77">
        <f>5818+304-1</f>
        <v>6121</v>
      </c>
      <c r="T13" s="167">
        <v>6346</v>
      </c>
      <c r="U13" s="167">
        <v>5728</v>
      </c>
      <c r="V13" s="167">
        <v>6354</v>
      </c>
      <c r="W13" s="167">
        <v>6264</v>
      </c>
      <c r="X13" s="176">
        <v>6412</v>
      </c>
      <c r="Y13" s="167">
        <v>6739</v>
      </c>
      <c r="Z13" s="167">
        <v>6847</v>
      </c>
      <c r="AA13" s="167">
        <v>6921</v>
      </c>
      <c r="AB13" s="167">
        <v>5638</v>
      </c>
      <c r="AC13" s="176">
        <v>5349</v>
      </c>
      <c r="AD13" s="167">
        <v>5338</v>
      </c>
      <c r="AE13" s="167">
        <v>5714</v>
      </c>
      <c r="AF13" s="192">
        <v>6401</v>
      </c>
    </row>
    <row r="14" spans="1:32" x14ac:dyDescent="0.2">
      <c r="B14" s="27" t="s">
        <v>46</v>
      </c>
      <c r="C14" s="8"/>
      <c r="D14" s="9"/>
      <c r="E14" s="8"/>
      <c r="F14" s="9"/>
      <c r="G14" s="8"/>
      <c r="H14" s="9"/>
      <c r="I14" s="9"/>
      <c r="J14" s="10">
        <f>367+1480+2531+1391+10+12+136+222+536+2362+187+24</f>
        <v>9258</v>
      </c>
      <c r="K14" s="11">
        <f>424+144+1503+2614+234+546+1490+2467+181+5+29+28</f>
        <v>9665</v>
      </c>
      <c r="L14" s="11">
        <f>425+1576+2683+1451+9+18+178+215+598+2534+187+30</f>
        <v>9904</v>
      </c>
      <c r="M14" s="11">
        <f>472+144+1605+2932+1615+5+39+230+569+2513+166+28</f>
        <v>10318</v>
      </c>
      <c r="N14" s="14">
        <v>10594</v>
      </c>
      <c r="O14" s="15">
        <v>10986</v>
      </c>
      <c r="P14" s="105">
        <v>11043</v>
      </c>
      <c r="Q14" s="77">
        <f>341+143+1598+181+2938+649+1847+2936+10+222+30+33+1</f>
        <v>10929</v>
      </c>
      <c r="R14" s="77">
        <v>10841</v>
      </c>
      <c r="S14" s="77">
        <f>6756+4840+191+134-812-221</f>
        <v>10888</v>
      </c>
      <c r="T14" s="167">
        <v>10485</v>
      </c>
      <c r="U14" s="167">
        <v>10925</v>
      </c>
      <c r="V14" s="167">
        <v>10594</v>
      </c>
      <c r="W14" s="167">
        <v>10976</v>
      </c>
      <c r="X14" s="176">
        <v>10970</v>
      </c>
      <c r="Y14" s="167">
        <v>11015</v>
      </c>
      <c r="Z14" s="167">
        <v>11215</v>
      </c>
      <c r="AA14" s="167">
        <v>11272</v>
      </c>
      <c r="AB14" s="167">
        <v>9145</v>
      </c>
      <c r="AC14" s="176">
        <v>8876</v>
      </c>
      <c r="AD14" s="167">
        <v>8383</v>
      </c>
      <c r="AE14" s="167">
        <v>8025</v>
      </c>
      <c r="AF14" s="192">
        <v>7903</v>
      </c>
    </row>
    <row r="15" spans="1:32" x14ac:dyDescent="0.2">
      <c r="B15" s="27" t="s">
        <v>47</v>
      </c>
      <c r="C15" s="8"/>
      <c r="D15" s="9"/>
      <c r="E15" s="8"/>
      <c r="F15" s="9"/>
      <c r="G15" s="8"/>
      <c r="H15" s="9"/>
      <c r="I15" s="9"/>
      <c r="J15" s="10">
        <f>89+113+170+554+49+8+64+59+94+252+8+9</f>
        <v>1469</v>
      </c>
      <c r="K15" s="11">
        <f>141+106+117+163+69+98+579+233+38+12+17+27</f>
        <v>1600</v>
      </c>
      <c r="L15" s="11">
        <f>96+74+52+78+244+7+11+113+180+449+53+14</f>
        <v>1371</v>
      </c>
      <c r="M15" s="11">
        <f>91+90+149+459+43+22+49+59+82+233+7+19</f>
        <v>1303</v>
      </c>
      <c r="N15" s="14">
        <v>1370</v>
      </c>
      <c r="O15" s="15">
        <v>1360</v>
      </c>
      <c r="P15" s="105">
        <v>1388</v>
      </c>
      <c r="Q15" s="77">
        <f>99+73+96+52+179+94+495+262+14+11+8+16</f>
        <v>1399</v>
      </c>
      <c r="R15" s="77">
        <v>1408</v>
      </c>
      <c r="S15" s="77">
        <f>2166+1502+70+38-2134-206</f>
        <v>1436</v>
      </c>
      <c r="T15" s="167">
        <v>1398</v>
      </c>
      <c r="U15" s="167">
        <v>1531</v>
      </c>
      <c r="V15" s="167">
        <v>1514</v>
      </c>
      <c r="W15" s="167">
        <v>1647</v>
      </c>
      <c r="X15" s="176">
        <v>1661</v>
      </c>
      <c r="Y15" s="167">
        <v>1751</v>
      </c>
      <c r="Z15" s="167">
        <v>1785</v>
      </c>
      <c r="AA15" s="167">
        <v>1814</v>
      </c>
      <c r="AB15" s="167">
        <v>1234</v>
      </c>
      <c r="AC15" s="176">
        <v>1144</v>
      </c>
      <c r="AD15" s="167">
        <v>1079</v>
      </c>
      <c r="AE15" s="167">
        <v>1111</v>
      </c>
      <c r="AF15" s="192">
        <v>1100</v>
      </c>
    </row>
    <row r="16" spans="1:32" x14ac:dyDescent="0.2">
      <c r="B16" s="27" t="s">
        <v>48</v>
      </c>
      <c r="C16" s="8"/>
      <c r="D16" s="9"/>
      <c r="E16" s="8"/>
      <c r="F16" s="9"/>
      <c r="G16" s="8"/>
      <c r="H16" s="9"/>
      <c r="I16" s="9"/>
      <c r="J16" s="10">
        <f>29+6+24+4+33+4+120+18+1+1+7+4</f>
        <v>251</v>
      </c>
      <c r="K16" s="11">
        <f>38+20+32+4+40+6+115+31+1+16+3</f>
        <v>306</v>
      </c>
      <c r="L16" s="11">
        <f>38+32+38+93+21+17+7+6+27+10</f>
        <v>289</v>
      </c>
      <c r="M16" s="11">
        <f>38+7+22+1+35+8+95+20+1+21+8</f>
        <v>256</v>
      </c>
      <c r="N16" s="14">
        <v>291</v>
      </c>
      <c r="O16" s="15">
        <v>254</v>
      </c>
      <c r="P16" s="105">
        <v>283</v>
      </c>
      <c r="Q16" s="77">
        <f>40+20+27+2+42+8+107+28+9+2</f>
        <v>285</v>
      </c>
      <c r="R16" s="77">
        <v>307</v>
      </c>
      <c r="S16" s="77">
        <f>792+488+30+12-1000-6</f>
        <v>316</v>
      </c>
      <c r="T16" s="167">
        <v>316</v>
      </c>
      <c r="U16" s="167">
        <v>307</v>
      </c>
      <c r="V16" s="167">
        <v>316</v>
      </c>
      <c r="W16" s="167">
        <v>318</v>
      </c>
      <c r="X16" s="176">
        <v>342</v>
      </c>
      <c r="Y16" s="167">
        <v>348</v>
      </c>
      <c r="Z16" s="167">
        <v>322</v>
      </c>
      <c r="AA16" s="167">
        <v>320</v>
      </c>
      <c r="AB16" s="167">
        <v>240</v>
      </c>
      <c r="AC16" s="176">
        <v>250</v>
      </c>
      <c r="AD16" s="167">
        <v>246</v>
      </c>
      <c r="AE16" s="167">
        <v>263</v>
      </c>
      <c r="AF16" s="192">
        <v>246</v>
      </c>
    </row>
    <row r="17" spans="2:35" x14ac:dyDescent="0.2">
      <c r="B17" s="7" t="s">
        <v>17</v>
      </c>
      <c r="C17" s="8">
        <f>170+57+46+51</f>
        <v>324</v>
      </c>
      <c r="D17" s="9">
        <f>27+22+177+59</f>
        <v>285</v>
      </c>
      <c r="E17" s="8">
        <f>178+63+42+32+1+1</f>
        <v>317</v>
      </c>
      <c r="F17" s="9">
        <f>60+35+156+78+1+1+1</f>
        <v>332</v>
      </c>
      <c r="G17" s="8">
        <f>143+78+40+23+2+1</f>
        <v>287</v>
      </c>
      <c r="H17" s="9">
        <f>37+27+125+82+4</f>
        <v>275</v>
      </c>
      <c r="I17" s="9">
        <v>240</v>
      </c>
      <c r="J17" s="10">
        <v>194</v>
      </c>
      <c r="K17" s="11">
        <v>219</v>
      </c>
      <c r="L17" s="11">
        <v>190</v>
      </c>
      <c r="M17" s="11">
        <f>30+195</f>
        <v>225</v>
      </c>
      <c r="N17" s="14">
        <v>251</v>
      </c>
      <c r="O17" s="15">
        <f>46+34+44+53+4+64</f>
        <v>245</v>
      </c>
      <c r="P17" s="105">
        <v>230</v>
      </c>
      <c r="Q17" s="77">
        <v>230</v>
      </c>
      <c r="R17" s="77">
        <v>254</v>
      </c>
      <c r="S17" s="77">
        <f>1036+11-720-1</f>
        <v>326</v>
      </c>
      <c r="T17" s="168">
        <v>431</v>
      </c>
      <c r="U17" s="167">
        <v>630</v>
      </c>
      <c r="V17" s="167">
        <v>913</v>
      </c>
      <c r="W17" s="167">
        <v>996</v>
      </c>
      <c r="X17" s="176">
        <v>1096</v>
      </c>
      <c r="Y17" s="167">
        <v>1301</v>
      </c>
      <c r="Z17" s="167">
        <v>1376</v>
      </c>
      <c r="AA17" s="167">
        <v>1467</v>
      </c>
      <c r="AB17" s="167">
        <v>477</v>
      </c>
      <c r="AC17" s="176">
        <v>398</v>
      </c>
      <c r="AD17" s="167">
        <v>332</v>
      </c>
      <c r="AE17" s="167">
        <v>279</v>
      </c>
      <c r="AF17" s="192">
        <v>271</v>
      </c>
    </row>
    <row r="18" spans="2:35" x14ac:dyDescent="0.2">
      <c r="B18" s="7" t="s">
        <v>19</v>
      </c>
      <c r="C18" s="8">
        <f>24+26+9+8</f>
        <v>67</v>
      </c>
      <c r="D18" s="9">
        <f>9+5+22+26</f>
        <v>62</v>
      </c>
      <c r="E18" s="8">
        <f>32+29+5+7+5</f>
        <v>78</v>
      </c>
      <c r="F18" s="9">
        <f>4+5+34+33+3+2+2</f>
        <v>83</v>
      </c>
      <c r="G18" s="8">
        <f>44+44+9+4+5+5</f>
        <v>111</v>
      </c>
      <c r="H18" s="9">
        <f>4+3+46+54+5+5</f>
        <v>117</v>
      </c>
      <c r="I18" s="9">
        <v>120</v>
      </c>
      <c r="J18" s="10">
        <v>127</v>
      </c>
      <c r="K18" s="11">
        <v>133</v>
      </c>
      <c r="L18" s="11">
        <v>132</v>
      </c>
      <c r="M18" s="11">
        <f>92+22</f>
        <v>114</v>
      </c>
      <c r="N18" s="14">
        <v>120</v>
      </c>
      <c r="O18" s="15">
        <f>29+17+20+36+1+2</f>
        <v>105</v>
      </c>
      <c r="P18" s="105">
        <v>93</v>
      </c>
      <c r="Q18" s="77">
        <v>95</v>
      </c>
      <c r="R18" s="77">
        <v>104</v>
      </c>
      <c r="S18" s="77">
        <f>138-22-2</f>
        <v>114</v>
      </c>
      <c r="T18" s="168">
        <v>113</v>
      </c>
      <c r="U18" s="167">
        <v>132</v>
      </c>
      <c r="V18" s="167">
        <v>116</v>
      </c>
      <c r="W18" s="167">
        <v>90</v>
      </c>
      <c r="X18" s="176">
        <v>81</v>
      </c>
      <c r="Y18" s="167">
        <v>80</v>
      </c>
      <c r="Z18" s="167">
        <v>90</v>
      </c>
      <c r="AA18" s="167">
        <v>75</v>
      </c>
      <c r="AB18" s="167">
        <v>71</v>
      </c>
      <c r="AC18" s="176">
        <v>59</v>
      </c>
      <c r="AD18" s="167">
        <v>60</v>
      </c>
      <c r="AE18" s="167">
        <v>59</v>
      </c>
      <c r="AF18" s="192">
        <v>60</v>
      </c>
      <c r="AI18" s="75"/>
    </row>
    <row r="19" spans="2:35" x14ac:dyDescent="0.2">
      <c r="B19" s="27" t="s">
        <v>20</v>
      </c>
      <c r="C19" s="8">
        <f>22+22+135+80</f>
        <v>259</v>
      </c>
      <c r="D19" s="9">
        <f>131+80+20+11</f>
        <v>242</v>
      </c>
      <c r="E19" s="8">
        <f>41+11+124+95+12+1</f>
        <v>284</v>
      </c>
      <c r="F19" s="9">
        <f>139+102+21+25+8+1+1</f>
        <v>297</v>
      </c>
      <c r="G19" s="8">
        <f>24+19+133+103+16+1</f>
        <v>296</v>
      </c>
      <c r="H19" s="9">
        <f>123+102+25+26+12+2</f>
        <v>290</v>
      </c>
      <c r="I19" s="9">
        <v>280</v>
      </c>
      <c r="J19" s="10">
        <v>266</v>
      </c>
      <c r="K19" s="11">
        <v>253</v>
      </c>
      <c r="L19" s="11">
        <v>261</v>
      </c>
      <c r="M19" s="11">
        <f>197+47</f>
        <v>244</v>
      </c>
      <c r="N19" s="14">
        <v>256</v>
      </c>
      <c r="O19" s="15">
        <f>66+43+52+71+6+6</f>
        <v>244</v>
      </c>
      <c r="P19" s="105">
        <v>264</v>
      </c>
      <c r="Q19" s="77">
        <v>252</v>
      </c>
      <c r="R19" s="77">
        <v>247</v>
      </c>
      <c r="S19" s="77">
        <f>318+13-69-7</f>
        <v>255</v>
      </c>
      <c r="T19" s="168">
        <v>253</v>
      </c>
      <c r="U19" s="167">
        <v>241</v>
      </c>
      <c r="V19" s="167">
        <v>243</v>
      </c>
      <c r="W19" s="167">
        <v>218</v>
      </c>
      <c r="X19" s="176">
        <v>258</v>
      </c>
      <c r="Y19" s="167">
        <v>235</v>
      </c>
      <c r="Z19" s="167">
        <v>258</v>
      </c>
      <c r="AA19" s="167">
        <v>265</v>
      </c>
      <c r="AB19" s="167">
        <v>285</v>
      </c>
      <c r="AC19" s="176">
        <v>272</v>
      </c>
      <c r="AD19" s="167">
        <v>280</v>
      </c>
      <c r="AE19" s="167">
        <v>289</v>
      </c>
      <c r="AF19" s="192">
        <v>314</v>
      </c>
    </row>
    <row r="20" spans="2:35" x14ac:dyDescent="0.2">
      <c r="B20" s="7" t="s">
        <v>18</v>
      </c>
      <c r="C20" s="8">
        <f>112+95+202+226</f>
        <v>635</v>
      </c>
      <c r="D20" s="9">
        <f>195+216+115+84</f>
        <v>610</v>
      </c>
      <c r="E20" s="8">
        <f>97+82+230+253+9+5</f>
        <v>676</v>
      </c>
      <c r="F20" s="9">
        <f>220+244+72+79+4+2+1+2</f>
        <v>624</v>
      </c>
      <c r="G20" s="8">
        <f>91+83+201+230+8+7</f>
        <v>620</v>
      </c>
      <c r="H20" s="9">
        <f>215+219+79+97+9+6</f>
        <v>625</v>
      </c>
      <c r="I20" s="9">
        <v>592</v>
      </c>
      <c r="J20" s="10">
        <v>550</v>
      </c>
      <c r="K20" s="11">
        <v>545</v>
      </c>
      <c r="L20" s="11">
        <v>527</v>
      </c>
      <c r="M20" s="11">
        <f>414+127</f>
        <v>541</v>
      </c>
      <c r="N20" s="14">
        <v>554</v>
      </c>
      <c r="O20" s="15">
        <f>180+112+117+153+4+4</f>
        <v>570</v>
      </c>
      <c r="P20" s="105">
        <v>561</v>
      </c>
      <c r="Q20" s="77">
        <v>551</v>
      </c>
      <c r="R20" s="77">
        <v>575</v>
      </c>
      <c r="S20" s="77">
        <f>737+23-179-1</f>
        <v>580</v>
      </c>
      <c r="T20" s="168">
        <v>610</v>
      </c>
      <c r="U20" s="167">
        <v>640</v>
      </c>
      <c r="V20" s="167">
        <v>725</v>
      </c>
      <c r="W20" s="167">
        <v>818</v>
      </c>
      <c r="X20" s="176">
        <v>830</v>
      </c>
      <c r="Y20" s="167">
        <v>847</v>
      </c>
      <c r="Z20" s="167">
        <v>808</v>
      </c>
      <c r="AA20" s="167">
        <v>793</v>
      </c>
      <c r="AB20" s="167">
        <v>477</v>
      </c>
      <c r="AC20" s="176">
        <v>444</v>
      </c>
      <c r="AD20" s="167">
        <v>411</v>
      </c>
      <c r="AE20" s="167">
        <v>398</v>
      </c>
      <c r="AF20" s="192">
        <v>461</v>
      </c>
    </row>
    <row r="21" spans="2:35" x14ac:dyDescent="0.2">
      <c r="B21" s="27" t="s">
        <v>49</v>
      </c>
      <c r="C21" s="8"/>
      <c r="D21" s="9"/>
      <c r="E21" s="8"/>
      <c r="F21" s="9"/>
      <c r="G21" s="8"/>
      <c r="H21" s="9"/>
      <c r="I21" s="9"/>
      <c r="J21" s="10"/>
      <c r="K21" s="11"/>
      <c r="L21" s="11"/>
      <c r="M21" s="11"/>
      <c r="N21" s="14"/>
      <c r="O21" s="15"/>
      <c r="P21" s="105"/>
      <c r="Q21" s="77"/>
      <c r="R21" s="77"/>
      <c r="S21" s="77"/>
      <c r="T21" s="169"/>
      <c r="U21" s="167">
        <v>26</v>
      </c>
      <c r="V21" s="167">
        <v>30</v>
      </c>
      <c r="W21" s="167">
        <v>31</v>
      </c>
      <c r="X21" s="176">
        <v>34</v>
      </c>
      <c r="Y21" s="167">
        <v>24</v>
      </c>
      <c r="Z21" s="167">
        <v>22</v>
      </c>
      <c r="AA21" s="167">
        <v>26</v>
      </c>
      <c r="AB21" s="167">
        <v>14</v>
      </c>
      <c r="AC21" s="176">
        <v>15</v>
      </c>
      <c r="AD21" s="167">
        <v>14</v>
      </c>
      <c r="AE21" s="167">
        <v>13</v>
      </c>
      <c r="AF21" s="192">
        <v>16</v>
      </c>
    </row>
    <row r="22" spans="2:35" x14ac:dyDescent="0.2">
      <c r="B22" s="7" t="s">
        <v>21</v>
      </c>
      <c r="C22" s="8">
        <f>150+116+45+27</f>
        <v>338</v>
      </c>
      <c r="D22" s="9">
        <f>46+25+143+125</f>
        <v>339</v>
      </c>
      <c r="E22" s="8">
        <f>131+137+48+36+10+4</f>
        <v>366</v>
      </c>
      <c r="F22" s="9">
        <f>37+36+143+140+9+2+6+2</f>
        <v>375</v>
      </c>
      <c r="G22" s="8">
        <f>145+148+41+26+12+5</f>
        <v>377</v>
      </c>
      <c r="H22" s="9">
        <f>35+35+149+161+8+10</f>
        <v>398</v>
      </c>
      <c r="I22" s="9">
        <v>394</v>
      </c>
      <c r="J22" s="10">
        <v>394</v>
      </c>
      <c r="K22" s="11">
        <v>419</v>
      </c>
      <c r="L22" s="11">
        <v>410</v>
      </c>
      <c r="M22" s="11">
        <f>350+86</f>
        <v>436</v>
      </c>
      <c r="N22" s="14">
        <v>443</v>
      </c>
      <c r="O22" s="15">
        <v>451</v>
      </c>
      <c r="P22" s="105">
        <v>428</v>
      </c>
      <c r="Q22" s="77">
        <f>180+281</f>
        <v>461</v>
      </c>
      <c r="R22" s="77">
        <f>242+271</f>
        <v>513</v>
      </c>
      <c r="S22" s="77">
        <v>528</v>
      </c>
      <c r="T22" s="168">
        <v>554</v>
      </c>
      <c r="U22" s="167">
        <v>622</v>
      </c>
      <c r="V22" s="167">
        <v>706</v>
      </c>
      <c r="W22" s="167">
        <v>941</v>
      </c>
      <c r="X22" s="176">
        <v>1041</v>
      </c>
      <c r="Y22" s="167">
        <v>1116</v>
      </c>
      <c r="Z22" s="167">
        <v>1159</v>
      </c>
      <c r="AA22" s="167">
        <v>1220</v>
      </c>
      <c r="AB22" s="167">
        <v>1236</v>
      </c>
      <c r="AC22" s="176">
        <v>1262</v>
      </c>
      <c r="AD22" s="167">
        <v>1283</v>
      </c>
      <c r="AE22" s="167">
        <v>1376</v>
      </c>
      <c r="AF22" s="192">
        <v>1514</v>
      </c>
    </row>
    <row r="23" spans="2:35" x14ac:dyDescent="0.2">
      <c r="B23" s="181" t="s">
        <v>50</v>
      </c>
      <c r="C23" s="8"/>
      <c r="D23" s="9"/>
      <c r="E23" s="8"/>
      <c r="F23" s="9"/>
      <c r="G23" s="8"/>
      <c r="H23" s="9"/>
      <c r="I23" s="9"/>
      <c r="J23" s="10"/>
      <c r="K23" s="11"/>
      <c r="L23" s="11"/>
      <c r="M23" s="11"/>
      <c r="N23" s="14"/>
      <c r="O23" s="15"/>
      <c r="P23" s="105"/>
      <c r="Q23" s="77"/>
      <c r="R23" s="77"/>
      <c r="S23" s="162"/>
      <c r="T23" s="169"/>
      <c r="U23" s="167">
        <v>154</v>
      </c>
      <c r="V23" s="167">
        <v>253</v>
      </c>
      <c r="W23" s="167">
        <v>352</v>
      </c>
      <c r="X23" s="176">
        <v>474</v>
      </c>
      <c r="Y23" s="167">
        <v>523</v>
      </c>
      <c r="Z23" s="167">
        <v>580</v>
      </c>
      <c r="AA23" s="167">
        <v>612</v>
      </c>
      <c r="AB23" s="167">
        <v>636</v>
      </c>
      <c r="AC23" s="176">
        <v>610</v>
      </c>
      <c r="AD23" s="167">
        <v>576</v>
      </c>
      <c r="AE23" s="167">
        <v>572</v>
      </c>
      <c r="AF23" s="192">
        <v>606</v>
      </c>
    </row>
    <row r="24" spans="2:35" x14ac:dyDescent="0.2">
      <c r="B24" s="27" t="s">
        <v>41</v>
      </c>
      <c r="C24" s="8"/>
      <c r="D24" s="9"/>
      <c r="E24" s="8"/>
      <c r="F24" s="9"/>
      <c r="G24" s="8"/>
      <c r="H24" s="9"/>
      <c r="I24" s="9"/>
      <c r="J24" s="10">
        <v>93</v>
      </c>
      <c r="K24" s="11">
        <v>225</v>
      </c>
      <c r="L24" s="11">
        <v>334</v>
      </c>
      <c r="M24" s="11">
        <f>101+246+25+50</f>
        <v>422</v>
      </c>
      <c r="N24" s="14">
        <v>510</v>
      </c>
      <c r="O24" s="15">
        <v>558</v>
      </c>
      <c r="P24" s="105">
        <v>614</v>
      </c>
      <c r="Q24" s="77">
        <v>653</v>
      </c>
      <c r="R24" s="77">
        <v>680</v>
      </c>
      <c r="S24" s="77">
        <v>685</v>
      </c>
      <c r="T24" s="168">
        <v>688</v>
      </c>
      <c r="U24" s="167">
        <v>396</v>
      </c>
      <c r="V24" s="167">
        <v>417</v>
      </c>
      <c r="W24" s="167">
        <v>92</v>
      </c>
      <c r="X24" s="176">
        <v>267</v>
      </c>
      <c r="Y24" s="167">
        <v>373</v>
      </c>
      <c r="Z24" s="167">
        <v>309</v>
      </c>
      <c r="AA24" s="167">
        <v>288</v>
      </c>
      <c r="AB24" s="167">
        <v>169</v>
      </c>
      <c r="AC24" s="176">
        <v>163</v>
      </c>
      <c r="AD24" s="167">
        <v>139</v>
      </c>
      <c r="AE24" s="167">
        <v>140</v>
      </c>
      <c r="AF24" s="192">
        <v>105</v>
      </c>
    </row>
    <row r="25" spans="2:35" ht="13.5" thickBot="1" x14ac:dyDescent="0.25">
      <c r="B25" s="7" t="s">
        <v>22</v>
      </c>
      <c r="C25" s="8">
        <f>906+1007+7447+6394</f>
        <v>15754</v>
      </c>
      <c r="D25" s="9">
        <f>7416+6364+919+868</f>
        <v>15567</v>
      </c>
      <c r="E25" s="8">
        <f>873+784+7221+6263+471+254</f>
        <v>15866</v>
      </c>
      <c r="F25" s="9">
        <f>7064+6156+757+795+306+71+161+139</f>
        <v>15449</v>
      </c>
      <c r="G25" s="8">
        <f>802+773+6952+6078+479+217</f>
        <v>15301</v>
      </c>
      <c r="H25" s="9">
        <f>7036+6029+738+772+497+237</f>
        <v>15309</v>
      </c>
      <c r="I25" s="9">
        <v>15309</v>
      </c>
      <c r="J25" s="10">
        <v>15312</v>
      </c>
      <c r="K25" s="11">
        <v>15738</v>
      </c>
      <c r="L25" s="11">
        <v>16049</v>
      </c>
      <c r="M25" s="11">
        <f>14185+2085</f>
        <v>16270</v>
      </c>
      <c r="N25" s="14">
        <v>16636</v>
      </c>
      <c r="O25" s="15">
        <f>4440+3552+3703+4703+233+244</f>
        <v>16875</v>
      </c>
      <c r="P25" s="105">
        <v>16893</v>
      </c>
      <c r="Q25" s="77">
        <v>16856</v>
      </c>
      <c r="R25" s="77">
        <v>16465</v>
      </c>
      <c r="S25" s="77">
        <v>16274</v>
      </c>
      <c r="T25" s="168">
        <v>15895</v>
      </c>
      <c r="U25" s="167">
        <v>15650</v>
      </c>
      <c r="V25" s="167">
        <v>15375</v>
      </c>
      <c r="W25" s="167">
        <v>15667</v>
      </c>
      <c r="X25" s="176">
        <v>15304</v>
      </c>
      <c r="Y25" s="167">
        <v>15354</v>
      </c>
      <c r="Z25" s="167">
        <v>15567</v>
      </c>
      <c r="AA25" s="167">
        <v>15581</v>
      </c>
      <c r="AB25" s="167">
        <v>12892</v>
      </c>
      <c r="AC25" s="176">
        <v>12396</v>
      </c>
      <c r="AD25" s="167">
        <v>11951</v>
      </c>
      <c r="AE25" s="167">
        <v>11987</v>
      </c>
      <c r="AF25" s="196">
        <v>12303</v>
      </c>
      <c r="AH25" s="75">
        <f>AC26+AC47</f>
        <v>4610</v>
      </c>
    </row>
    <row r="26" spans="2:35" ht="13.5" thickTop="1" x14ac:dyDescent="0.2">
      <c r="B26" s="16" t="s">
        <v>23</v>
      </c>
      <c r="C26" s="17">
        <f t="shared" ref="C26:J26" si="4">SUM(C27:C28)</f>
        <v>3399</v>
      </c>
      <c r="D26" s="18">
        <f t="shared" si="4"/>
        <v>3247</v>
      </c>
      <c r="E26" s="17">
        <f t="shared" si="4"/>
        <v>3277</v>
      </c>
      <c r="F26" s="18">
        <f t="shared" si="4"/>
        <v>3260</v>
      </c>
      <c r="G26" s="17">
        <f t="shared" si="4"/>
        <v>3310</v>
      </c>
      <c r="H26" s="18">
        <f t="shared" si="4"/>
        <v>3096</v>
      </c>
      <c r="I26" s="18">
        <f t="shared" si="4"/>
        <v>3017</v>
      </c>
      <c r="J26" s="19">
        <f t="shared" si="4"/>
        <v>2986</v>
      </c>
      <c r="K26" s="20">
        <f>SUM(K27:K28)</f>
        <v>2958</v>
      </c>
      <c r="L26" s="20">
        <f>SUM(L27:L28)</f>
        <v>3244</v>
      </c>
      <c r="M26" s="20">
        <f>SUM(M27:M28)</f>
        <v>3277</v>
      </c>
      <c r="N26" s="20">
        <v>3225</v>
      </c>
      <c r="O26" s="146">
        <f t="shared" ref="O26:T26" si="5">SUM(O27:O28)</f>
        <v>3309</v>
      </c>
      <c r="P26" s="127">
        <f t="shared" si="5"/>
        <v>3534</v>
      </c>
      <c r="Q26" s="130">
        <f t="shared" si="5"/>
        <v>3619</v>
      </c>
      <c r="R26" s="130">
        <f t="shared" si="5"/>
        <v>3916</v>
      </c>
      <c r="S26" s="130">
        <f t="shared" si="5"/>
        <v>3947</v>
      </c>
      <c r="T26" s="131">
        <f t="shared" si="5"/>
        <v>4359</v>
      </c>
      <c r="U26" s="130">
        <f t="shared" ref="U26:Z26" si="6">SUM(U27:U28)</f>
        <v>4590</v>
      </c>
      <c r="V26" s="130">
        <f t="shared" si="6"/>
        <v>4366</v>
      </c>
      <c r="W26" s="130">
        <f t="shared" si="6"/>
        <v>3921</v>
      </c>
      <c r="X26" s="177">
        <f t="shared" si="6"/>
        <v>4021</v>
      </c>
      <c r="Y26" s="130">
        <f t="shared" si="6"/>
        <v>4061</v>
      </c>
      <c r="Z26" s="130">
        <f t="shared" si="6"/>
        <v>3947</v>
      </c>
      <c r="AA26" s="130">
        <f t="shared" ref="AA26" si="7">SUM(AA27:AA28)</f>
        <v>3963</v>
      </c>
      <c r="AB26" s="130">
        <v>4120</v>
      </c>
      <c r="AC26" s="177">
        <v>4134</v>
      </c>
      <c r="AD26" s="130">
        <v>4196</v>
      </c>
      <c r="AE26" s="130">
        <v>4156</v>
      </c>
      <c r="AF26" s="132">
        <f>SUM(AF27:AF28)</f>
        <v>4152</v>
      </c>
    </row>
    <row r="27" spans="2:35" x14ac:dyDescent="0.2">
      <c r="B27" s="181" t="s">
        <v>52</v>
      </c>
      <c r="C27" s="8">
        <f>184+708+24+119+353+35</f>
        <v>1423</v>
      </c>
      <c r="D27" s="9">
        <f>194+640+24+22+355+153</f>
        <v>1388</v>
      </c>
      <c r="E27" s="8">
        <f>215+655+15+161+376+18</f>
        <v>1440</v>
      </c>
      <c r="F27" s="9">
        <f>902+553</f>
        <v>1455</v>
      </c>
      <c r="G27" s="8">
        <f>232+635+15+23+399+145</f>
        <v>1449</v>
      </c>
      <c r="H27" s="9">
        <f>826+557</f>
        <v>1383</v>
      </c>
      <c r="I27" s="9">
        <v>1293</v>
      </c>
      <c r="J27" s="10">
        <v>1270</v>
      </c>
      <c r="K27" s="11">
        <v>1318</v>
      </c>
      <c r="L27" s="11">
        <v>1285</v>
      </c>
      <c r="M27" s="11">
        <v>1328</v>
      </c>
      <c r="N27" s="12">
        <v>1262</v>
      </c>
      <c r="O27" s="13">
        <f>880+409+10</f>
        <v>1299</v>
      </c>
      <c r="P27" s="104">
        <v>1351</v>
      </c>
      <c r="Q27" s="77">
        <f>880+416+12</f>
        <v>1308</v>
      </c>
      <c r="R27" s="77">
        <v>1228</v>
      </c>
      <c r="S27" s="77">
        <v>1326</v>
      </c>
      <c r="T27" s="168">
        <v>1482</v>
      </c>
      <c r="U27" s="167">
        <v>1922</v>
      </c>
      <c r="V27" s="167">
        <v>1909</v>
      </c>
      <c r="W27" s="167">
        <v>1864</v>
      </c>
      <c r="X27" s="176">
        <v>1909</v>
      </c>
      <c r="Y27" s="167">
        <v>2025</v>
      </c>
      <c r="Z27" s="167">
        <v>1992</v>
      </c>
      <c r="AA27" s="167">
        <v>2031</v>
      </c>
      <c r="AB27" s="167">
        <v>2107</v>
      </c>
      <c r="AC27" s="176">
        <v>2078</v>
      </c>
      <c r="AD27" s="167">
        <v>2053</v>
      </c>
      <c r="AE27" s="167">
        <v>2076</v>
      </c>
      <c r="AF27" s="192">
        <v>2055</v>
      </c>
    </row>
    <row r="28" spans="2:35" x14ac:dyDescent="0.2">
      <c r="B28" s="7" t="s">
        <v>12</v>
      </c>
      <c r="C28" s="8">
        <f>802+1174</f>
        <v>1976</v>
      </c>
      <c r="D28" s="9">
        <f>813+1046</f>
        <v>1859</v>
      </c>
      <c r="E28" s="8">
        <f>790+1047</f>
        <v>1837</v>
      </c>
      <c r="F28" s="9">
        <f>786+1019</f>
        <v>1805</v>
      </c>
      <c r="G28" s="8">
        <f>51+598+193+395+571+53</f>
        <v>1861</v>
      </c>
      <c r="H28" s="9">
        <f>775+938</f>
        <v>1713</v>
      </c>
      <c r="I28" s="9">
        <v>1724</v>
      </c>
      <c r="J28" s="10">
        <v>1716</v>
      </c>
      <c r="K28" s="11">
        <v>1640</v>
      </c>
      <c r="L28" s="11">
        <v>1959</v>
      </c>
      <c r="M28" s="11">
        <v>1949</v>
      </c>
      <c r="N28" s="12">
        <v>1963</v>
      </c>
      <c r="O28" s="13">
        <f>1488+458+64</f>
        <v>2010</v>
      </c>
      <c r="P28" s="104">
        <v>2183</v>
      </c>
      <c r="Q28" s="77">
        <f>1763+487+61</f>
        <v>2311</v>
      </c>
      <c r="R28" s="77">
        <v>2688</v>
      </c>
      <c r="S28" s="77">
        <v>2621</v>
      </c>
      <c r="T28" s="168">
        <v>2877</v>
      </c>
      <c r="U28" s="167">
        <v>2668</v>
      </c>
      <c r="V28" s="167">
        <v>2457</v>
      </c>
      <c r="W28" s="167">
        <v>2057</v>
      </c>
      <c r="X28" s="176">
        <v>2112</v>
      </c>
      <c r="Y28" s="167">
        <v>2036</v>
      </c>
      <c r="Z28" s="167">
        <v>1955</v>
      </c>
      <c r="AA28" s="167">
        <v>1932</v>
      </c>
      <c r="AB28" s="167">
        <v>2013</v>
      </c>
      <c r="AC28" s="176">
        <v>2056</v>
      </c>
      <c r="AD28" s="167">
        <v>2143</v>
      </c>
      <c r="AE28" s="167">
        <v>2080</v>
      </c>
      <c r="AF28" s="192">
        <v>2097</v>
      </c>
    </row>
    <row r="29" spans="2:35" x14ac:dyDescent="0.2">
      <c r="B29" s="7" t="s">
        <v>13</v>
      </c>
      <c r="C29" s="8">
        <f>1682+236+95</f>
        <v>2013</v>
      </c>
      <c r="D29" s="9">
        <f>1457+235+85</f>
        <v>1777</v>
      </c>
      <c r="E29" s="8">
        <f>1436+226+71</f>
        <v>1733</v>
      </c>
      <c r="F29" s="9">
        <f>1350+249+78</f>
        <v>1677</v>
      </c>
      <c r="G29" s="8">
        <f>1374+252+80</f>
        <v>1706</v>
      </c>
      <c r="H29" s="9">
        <f>1258+240+91</f>
        <v>1589</v>
      </c>
      <c r="I29" s="9">
        <v>1652</v>
      </c>
      <c r="J29" s="10">
        <v>1648</v>
      </c>
      <c r="K29" s="11">
        <v>1612</v>
      </c>
      <c r="L29" s="11">
        <v>1794</v>
      </c>
      <c r="M29" s="11">
        <f>1004+71+372</f>
        <v>1447</v>
      </c>
      <c r="N29" s="14">
        <v>1763</v>
      </c>
      <c r="O29" s="15">
        <f>1519+262+71</f>
        <v>1852</v>
      </c>
      <c r="P29" s="105">
        <v>1989</v>
      </c>
      <c r="Q29" s="77">
        <f>1572+262+69</f>
        <v>1903</v>
      </c>
      <c r="R29" s="77">
        <v>2219</v>
      </c>
      <c r="S29" s="77">
        <v>2171</v>
      </c>
      <c r="T29" s="168">
        <v>2378</v>
      </c>
      <c r="U29" s="167">
        <v>2476</v>
      </c>
      <c r="V29" s="167">
        <v>2172</v>
      </c>
      <c r="W29" s="167">
        <v>1719</v>
      </c>
      <c r="X29" s="176">
        <v>1702</v>
      </c>
      <c r="Y29" s="167">
        <v>1670</v>
      </c>
      <c r="Z29" s="167">
        <v>1546</v>
      </c>
      <c r="AA29" s="167">
        <v>1492</v>
      </c>
      <c r="AB29" s="167">
        <v>1685</v>
      </c>
      <c r="AC29" s="176">
        <v>1649</v>
      </c>
      <c r="AD29" s="167">
        <v>1690</v>
      </c>
      <c r="AE29" s="167">
        <v>1732</v>
      </c>
      <c r="AF29" s="192">
        <v>1705</v>
      </c>
    </row>
    <row r="30" spans="2:35" x14ac:dyDescent="0.2">
      <c r="B30" s="7" t="s">
        <v>14</v>
      </c>
      <c r="C30" s="8">
        <f>809+572+5</f>
        <v>1386</v>
      </c>
      <c r="D30" s="9">
        <f>904+558+8</f>
        <v>1470</v>
      </c>
      <c r="E30" s="8">
        <f>908+625+11</f>
        <v>1544</v>
      </c>
      <c r="F30" s="9">
        <f>979+595+9</f>
        <v>1583</v>
      </c>
      <c r="G30" s="8">
        <f>959+633+12</f>
        <v>1604</v>
      </c>
      <c r="H30" s="9">
        <f>865+635+7</f>
        <v>1507</v>
      </c>
      <c r="I30" s="9">
        <v>1365</v>
      </c>
      <c r="J30" s="10">
        <v>1338</v>
      </c>
      <c r="K30" s="11">
        <v>1346</v>
      </c>
      <c r="L30" s="11">
        <v>1450</v>
      </c>
      <c r="M30" s="11">
        <v>1076</v>
      </c>
      <c r="N30" s="14">
        <v>1462</v>
      </c>
      <c r="O30" s="15">
        <f>849+605+3</f>
        <v>1457</v>
      </c>
      <c r="P30" s="105">
        <v>1545</v>
      </c>
      <c r="Q30" s="77">
        <f>1071+641+4</f>
        <v>1716</v>
      </c>
      <c r="R30" s="77">
        <v>1697</v>
      </c>
      <c r="S30" s="77">
        <v>1776</v>
      </c>
      <c r="T30" s="168">
        <v>1981</v>
      </c>
      <c r="U30" s="167">
        <v>2114</v>
      </c>
      <c r="V30" s="167">
        <v>2195</v>
      </c>
      <c r="W30" s="167">
        <v>2202</v>
      </c>
      <c r="X30" s="176">
        <v>2319</v>
      </c>
      <c r="Y30" s="167">
        <v>2391</v>
      </c>
      <c r="Z30" s="167">
        <v>2401</v>
      </c>
      <c r="AA30" s="167">
        <v>2471</v>
      </c>
      <c r="AB30" s="167">
        <v>2435</v>
      </c>
      <c r="AC30" s="176">
        <v>2485</v>
      </c>
      <c r="AD30" s="167">
        <v>2506</v>
      </c>
      <c r="AE30" s="167">
        <v>2424</v>
      </c>
      <c r="AF30" s="192">
        <v>2447</v>
      </c>
    </row>
    <row r="31" spans="2:35" x14ac:dyDescent="0.2">
      <c r="B31" s="7" t="s">
        <v>15</v>
      </c>
      <c r="C31" s="8">
        <f>184+708+24+802</f>
        <v>1718</v>
      </c>
      <c r="D31" s="9">
        <f>813+24+640+194</f>
        <v>1671</v>
      </c>
      <c r="E31" s="8">
        <f>790+15+655+215</f>
        <v>1675</v>
      </c>
      <c r="F31" s="9">
        <f>786+902</f>
        <v>1688</v>
      </c>
      <c r="G31" s="8">
        <f>232+635+15+842</f>
        <v>1724</v>
      </c>
      <c r="H31" s="9">
        <f>775+826</f>
        <v>1601</v>
      </c>
      <c r="I31" s="9">
        <v>1482</v>
      </c>
      <c r="J31" s="10">
        <v>1456</v>
      </c>
      <c r="K31" s="11">
        <v>1433</v>
      </c>
      <c r="L31" s="11">
        <v>1507</v>
      </c>
      <c r="M31" s="11">
        <f>746+709</f>
        <v>1455</v>
      </c>
      <c r="N31" s="14">
        <v>1455</v>
      </c>
      <c r="O31" s="15">
        <f>935+525+30</f>
        <v>1490</v>
      </c>
      <c r="P31" s="105">
        <v>1604</v>
      </c>
      <c r="Q31" s="77">
        <f>1082+538+29</f>
        <v>1649</v>
      </c>
      <c r="R31" s="77">
        <v>1645</v>
      </c>
      <c r="S31" s="77">
        <v>1689</v>
      </c>
      <c r="T31" s="168">
        <v>1875</v>
      </c>
      <c r="U31" s="167">
        <v>1923</v>
      </c>
      <c r="V31" s="167">
        <v>1897</v>
      </c>
      <c r="W31" s="167">
        <v>1828</v>
      </c>
      <c r="X31" s="176">
        <v>1843</v>
      </c>
      <c r="Y31" s="167">
        <v>1899</v>
      </c>
      <c r="Z31" s="167">
        <v>1848</v>
      </c>
      <c r="AA31" s="167">
        <v>1840</v>
      </c>
      <c r="AB31" s="167">
        <v>1677</v>
      </c>
      <c r="AC31" s="176">
        <v>1698</v>
      </c>
      <c r="AD31" s="167">
        <v>1719</v>
      </c>
      <c r="AE31" s="167">
        <v>1762</v>
      </c>
      <c r="AF31" s="192">
        <v>1717</v>
      </c>
    </row>
    <row r="32" spans="2:35" x14ac:dyDescent="0.2">
      <c r="B32" s="7" t="s">
        <v>16</v>
      </c>
      <c r="C32" s="8">
        <f>119+353+35+1174</f>
        <v>1681</v>
      </c>
      <c r="D32" s="9">
        <f>22+355+153+1046</f>
        <v>1576</v>
      </c>
      <c r="E32" s="8">
        <f>161+376+18+1047</f>
        <v>1602</v>
      </c>
      <c r="F32" s="9">
        <f>553+1019</f>
        <v>1572</v>
      </c>
      <c r="G32" s="8">
        <f>1019+23+399+145</f>
        <v>1586</v>
      </c>
      <c r="H32" s="9">
        <f>557+938</f>
        <v>1495</v>
      </c>
      <c r="I32" s="9">
        <v>1535</v>
      </c>
      <c r="J32" s="10">
        <v>1530</v>
      </c>
      <c r="K32" s="11">
        <v>1525</v>
      </c>
      <c r="L32" s="11">
        <v>1737</v>
      </c>
      <c r="M32" s="11">
        <f>1240+582</f>
        <v>1822</v>
      </c>
      <c r="N32" s="14">
        <v>1770</v>
      </c>
      <c r="O32" s="15">
        <f>1433+342+44</f>
        <v>1819</v>
      </c>
      <c r="P32" s="105">
        <v>1930</v>
      </c>
      <c r="Q32" s="77">
        <f>1561+365+44</f>
        <v>1970</v>
      </c>
      <c r="R32" s="77">
        <v>2271</v>
      </c>
      <c r="S32" s="77">
        <v>2258</v>
      </c>
      <c r="T32" s="168">
        <v>2484</v>
      </c>
      <c r="U32" s="167">
        <v>2667</v>
      </c>
      <c r="V32" s="167">
        <v>2469</v>
      </c>
      <c r="W32" s="167">
        <v>2093</v>
      </c>
      <c r="X32" s="176">
        <v>2178</v>
      </c>
      <c r="Y32" s="167">
        <v>2162</v>
      </c>
      <c r="Z32" s="167">
        <v>2099</v>
      </c>
      <c r="AA32" s="167">
        <v>2123</v>
      </c>
      <c r="AB32" s="167">
        <v>2443</v>
      </c>
      <c r="AC32" s="176">
        <v>2436</v>
      </c>
      <c r="AD32" s="167">
        <v>2477</v>
      </c>
      <c r="AE32" s="167">
        <v>2394</v>
      </c>
      <c r="AF32" s="192">
        <v>2434</v>
      </c>
    </row>
    <row r="33" spans="2:37" x14ac:dyDescent="0.2">
      <c r="B33" s="181" t="s">
        <v>59</v>
      </c>
      <c r="C33" s="8"/>
      <c r="D33" s="9"/>
      <c r="E33" s="8"/>
      <c r="F33" s="9"/>
      <c r="G33" s="8"/>
      <c r="H33" s="9"/>
      <c r="I33" s="9"/>
      <c r="J33" s="10"/>
      <c r="K33" s="11"/>
      <c r="L33" s="11"/>
      <c r="M33" s="11"/>
      <c r="N33" s="14"/>
      <c r="O33" s="15"/>
      <c r="P33" s="105"/>
      <c r="Q33" s="77"/>
      <c r="R33" s="77"/>
      <c r="S33" s="77"/>
      <c r="T33" s="168"/>
      <c r="U33" s="167"/>
      <c r="V33" s="167"/>
      <c r="W33" s="167"/>
      <c r="X33" s="176"/>
      <c r="Y33" s="167"/>
      <c r="Z33" s="167"/>
      <c r="AA33" s="167"/>
      <c r="AB33" s="167">
        <v>0</v>
      </c>
      <c r="AC33" s="176">
        <v>0</v>
      </c>
      <c r="AD33" s="167">
        <v>0</v>
      </c>
      <c r="AE33" s="167">
        <v>0</v>
      </c>
      <c r="AF33" s="192">
        <v>1</v>
      </c>
    </row>
    <row r="34" spans="2:37" x14ac:dyDescent="0.2">
      <c r="B34" s="27" t="s">
        <v>45</v>
      </c>
      <c r="C34" s="8"/>
      <c r="D34" s="9"/>
      <c r="E34" s="8"/>
      <c r="F34" s="9"/>
      <c r="G34" s="8"/>
      <c r="H34" s="9"/>
      <c r="I34" s="9"/>
      <c r="J34" s="21">
        <v>9</v>
      </c>
      <c r="K34" s="11">
        <v>9</v>
      </c>
      <c r="L34" s="11">
        <f>23</f>
        <v>23</v>
      </c>
      <c r="M34" s="11">
        <v>0</v>
      </c>
      <c r="N34" s="14">
        <v>0</v>
      </c>
      <c r="O34" s="15">
        <v>0</v>
      </c>
      <c r="P34" s="77">
        <v>0</v>
      </c>
      <c r="Q34" s="77">
        <v>26</v>
      </c>
      <c r="R34" s="77">
        <v>5</v>
      </c>
      <c r="S34" s="77">
        <v>1</v>
      </c>
      <c r="T34" s="168">
        <v>1</v>
      </c>
      <c r="U34" s="167">
        <v>0</v>
      </c>
      <c r="V34" s="167">
        <v>0</v>
      </c>
      <c r="W34" s="167">
        <v>1</v>
      </c>
      <c r="X34" s="176">
        <v>1</v>
      </c>
      <c r="Y34" s="167">
        <v>0</v>
      </c>
      <c r="Z34" s="167">
        <v>1</v>
      </c>
      <c r="AA34" s="167">
        <v>0</v>
      </c>
      <c r="AB34" s="167">
        <v>1</v>
      </c>
      <c r="AC34" s="176">
        <v>0</v>
      </c>
      <c r="AD34" s="167">
        <v>1</v>
      </c>
      <c r="AE34" s="167">
        <v>0</v>
      </c>
      <c r="AF34" s="192">
        <v>0</v>
      </c>
    </row>
    <row r="35" spans="2:37" x14ac:dyDescent="0.2">
      <c r="B35" s="27" t="s">
        <v>46</v>
      </c>
      <c r="C35" s="8"/>
      <c r="D35" s="9"/>
      <c r="E35" s="8"/>
      <c r="F35" s="9"/>
      <c r="G35" s="8"/>
      <c r="H35" s="9"/>
      <c r="I35" s="9"/>
      <c r="J35" s="10">
        <f>18+569</f>
        <v>587</v>
      </c>
      <c r="K35" s="11">
        <f>25+591</f>
        <v>616</v>
      </c>
      <c r="L35" s="11">
        <f>25+626</f>
        <v>651</v>
      </c>
      <c r="M35" s="11">
        <f>27+650</f>
        <v>677</v>
      </c>
      <c r="N35" s="14">
        <v>688</v>
      </c>
      <c r="O35" s="15">
        <v>763</v>
      </c>
      <c r="P35" s="105">
        <v>803</v>
      </c>
      <c r="Q35" s="77">
        <f>37+662+1+67</f>
        <v>767</v>
      </c>
      <c r="R35" s="77">
        <v>788</v>
      </c>
      <c r="S35" s="77">
        <f>52+760</f>
        <v>812</v>
      </c>
      <c r="T35" s="168">
        <v>1023</v>
      </c>
      <c r="U35" s="167">
        <v>1031</v>
      </c>
      <c r="V35" s="167">
        <v>1037</v>
      </c>
      <c r="W35" s="167">
        <v>964</v>
      </c>
      <c r="X35" s="176">
        <v>964</v>
      </c>
      <c r="Y35" s="167">
        <v>1105</v>
      </c>
      <c r="Z35" s="167">
        <v>1050</v>
      </c>
      <c r="AA35" s="167">
        <v>959</v>
      </c>
      <c r="AB35" s="167">
        <v>1042</v>
      </c>
      <c r="AC35" s="176">
        <v>1049</v>
      </c>
      <c r="AD35" s="167">
        <v>1088</v>
      </c>
      <c r="AE35" s="167">
        <v>1154</v>
      </c>
      <c r="AF35" s="192">
        <v>1145</v>
      </c>
    </row>
    <row r="36" spans="2:37" x14ac:dyDescent="0.2">
      <c r="B36" s="27" t="s">
        <v>47</v>
      </c>
      <c r="C36" s="8"/>
      <c r="D36" s="9"/>
      <c r="E36" s="8"/>
      <c r="F36" s="9"/>
      <c r="G36" s="8"/>
      <c r="H36" s="9"/>
      <c r="I36" s="9"/>
      <c r="J36" s="10">
        <f>814+813</f>
        <v>1627</v>
      </c>
      <c r="K36" s="11">
        <f>810+830</f>
        <v>1640</v>
      </c>
      <c r="L36" s="11">
        <f>875+849</f>
        <v>1724</v>
      </c>
      <c r="M36" s="11">
        <f>868+866+20</f>
        <v>1754</v>
      </c>
      <c r="N36" s="14">
        <f>1734+13</f>
        <v>1747</v>
      </c>
      <c r="O36" s="15">
        <v>1740</v>
      </c>
      <c r="P36" s="105">
        <v>1839</v>
      </c>
      <c r="Q36" s="77">
        <f>686+600+297+327+2+22</f>
        <v>1934</v>
      </c>
      <c r="R36" s="77">
        <v>2058</v>
      </c>
      <c r="S36" s="77">
        <v>2134</v>
      </c>
      <c r="T36" s="168">
        <v>2294</v>
      </c>
      <c r="U36" s="167">
        <v>2512</v>
      </c>
      <c r="V36" s="167">
        <v>2308</v>
      </c>
      <c r="W36" s="167">
        <v>2190</v>
      </c>
      <c r="X36" s="176">
        <v>2287</v>
      </c>
      <c r="Y36" s="167">
        <v>2235</v>
      </c>
      <c r="Z36" s="167">
        <v>2237</v>
      </c>
      <c r="AA36" s="167">
        <v>2348</v>
      </c>
      <c r="AB36" s="167">
        <v>2302</v>
      </c>
      <c r="AC36" s="176">
        <v>2272</v>
      </c>
      <c r="AD36" s="167">
        <v>2254</v>
      </c>
      <c r="AE36" s="167">
        <v>2133</v>
      </c>
      <c r="AF36" s="192">
        <v>2105</v>
      </c>
    </row>
    <row r="37" spans="2:37" x14ac:dyDescent="0.2">
      <c r="B37" s="27" t="s">
        <v>48</v>
      </c>
      <c r="C37" s="8"/>
      <c r="D37" s="9"/>
      <c r="E37" s="8"/>
      <c r="F37" s="9"/>
      <c r="G37" s="8"/>
      <c r="H37" s="9"/>
      <c r="I37" s="9"/>
      <c r="J37" s="10">
        <f>586+177</f>
        <v>763</v>
      </c>
      <c r="K37" s="11">
        <f>544+149</f>
        <v>693</v>
      </c>
      <c r="L37" s="11">
        <f>604+242</f>
        <v>846</v>
      </c>
      <c r="M37" s="11">
        <f>578+268</f>
        <v>846</v>
      </c>
      <c r="N37" s="14">
        <v>790</v>
      </c>
      <c r="O37" s="15">
        <v>806</v>
      </c>
      <c r="P37" s="105">
        <v>892</v>
      </c>
      <c r="Q37" s="77">
        <f>401+231+140+71+31+18</f>
        <v>892</v>
      </c>
      <c r="R37" s="77">
        <v>1065</v>
      </c>
      <c r="S37" s="77">
        <v>1000</v>
      </c>
      <c r="T37" s="168">
        <v>1041</v>
      </c>
      <c r="U37" s="167">
        <v>1047</v>
      </c>
      <c r="V37" s="167">
        <v>1021</v>
      </c>
      <c r="W37" s="167">
        <v>766</v>
      </c>
      <c r="X37" s="176">
        <v>769</v>
      </c>
      <c r="Y37" s="167">
        <v>721</v>
      </c>
      <c r="Z37" s="167">
        <v>659</v>
      </c>
      <c r="AA37" s="167">
        <v>656</v>
      </c>
      <c r="AB37" s="167">
        <v>775</v>
      </c>
      <c r="AC37" s="176">
        <v>813</v>
      </c>
      <c r="AD37" s="167">
        <v>853</v>
      </c>
      <c r="AE37" s="167">
        <v>869</v>
      </c>
      <c r="AF37" s="192">
        <v>902</v>
      </c>
    </row>
    <row r="38" spans="2:37" x14ac:dyDescent="0.2">
      <c r="B38" s="7" t="s">
        <v>17</v>
      </c>
      <c r="C38" s="8">
        <f>162+61+424+136</f>
        <v>783</v>
      </c>
      <c r="D38" s="9">
        <f>175+67+394+143</f>
        <v>779</v>
      </c>
      <c r="E38" s="8">
        <f>411+156+171+91</f>
        <v>829</v>
      </c>
      <c r="F38" s="9">
        <f>203+104+395+158</f>
        <v>860</v>
      </c>
      <c r="G38" s="8">
        <f>187+102+369+131</f>
        <v>789</v>
      </c>
      <c r="H38" s="9">
        <f>334+126+206+96</f>
        <v>762</v>
      </c>
      <c r="I38" s="9">
        <v>696</v>
      </c>
      <c r="J38" s="10">
        <v>677</v>
      </c>
      <c r="K38" s="11">
        <v>700</v>
      </c>
      <c r="L38" s="11">
        <v>747</v>
      </c>
      <c r="M38" s="11">
        <f>522+257</f>
        <v>779</v>
      </c>
      <c r="N38" s="14">
        <v>811</v>
      </c>
      <c r="O38" s="15">
        <f>465+393+1</f>
        <v>859</v>
      </c>
      <c r="P38" s="105">
        <v>831</v>
      </c>
      <c r="Q38" s="77">
        <v>793</v>
      </c>
      <c r="R38" s="77">
        <v>698</v>
      </c>
      <c r="S38" s="77">
        <v>720</v>
      </c>
      <c r="T38" s="168">
        <v>786</v>
      </c>
      <c r="U38" s="167">
        <v>797</v>
      </c>
      <c r="V38" s="167">
        <v>790</v>
      </c>
      <c r="W38" s="167">
        <v>810</v>
      </c>
      <c r="X38" s="176">
        <v>757</v>
      </c>
      <c r="Y38" s="167">
        <v>739</v>
      </c>
      <c r="Z38" s="167">
        <v>722</v>
      </c>
      <c r="AA38" s="167">
        <v>773</v>
      </c>
      <c r="AB38" s="167">
        <v>675</v>
      </c>
      <c r="AC38" s="176">
        <v>678</v>
      </c>
      <c r="AD38" s="167">
        <v>654</v>
      </c>
      <c r="AE38" s="167">
        <v>682</v>
      </c>
      <c r="AF38" s="192">
        <v>702</v>
      </c>
      <c r="AI38" s="75"/>
    </row>
    <row r="39" spans="2:37" x14ac:dyDescent="0.2">
      <c r="B39" s="7" t="s">
        <v>19</v>
      </c>
      <c r="C39" s="8">
        <f>3+3</f>
        <v>6</v>
      </c>
      <c r="D39" s="9">
        <f>1+3+1+1</f>
        <v>6</v>
      </c>
      <c r="E39" s="8">
        <f>1+2+1+2</f>
        <v>6</v>
      </c>
      <c r="F39" s="9">
        <f>3+3</f>
        <v>6</v>
      </c>
      <c r="G39" s="8">
        <f>1+4+2+2</f>
        <v>9</v>
      </c>
      <c r="H39" s="9">
        <f>1+5+2+2</f>
        <v>10</v>
      </c>
      <c r="I39" s="9">
        <v>11</v>
      </c>
      <c r="J39" s="10">
        <v>10</v>
      </c>
      <c r="K39" s="11">
        <v>12</v>
      </c>
      <c r="L39" s="11">
        <v>18</v>
      </c>
      <c r="M39" s="11">
        <f>11+6</f>
        <v>17</v>
      </c>
      <c r="N39" s="14">
        <v>13</v>
      </c>
      <c r="O39" s="15">
        <f>11+5+0</f>
        <v>16</v>
      </c>
      <c r="P39" s="105">
        <v>18</v>
      </c>
      <c r="Q39" s="77">
        <v>20</v>
      </c>
      <c r="R39" s="77">
        <v>21</v>
      </c>
      <c r="S39" s="77">
        <v>22</v>
      </c>
      <c r="T39" s="168">
        <v>27</v>
      </c>
      <c r="U39" s="167">
        <v>31</v>
      </c>
      <c r="V39" s="167">
        <v>25</v>
      </c>
      <c r="W39" s="167">
        <v>21</v>
      </c>
      <c r="X39" s="176">
        <v>16</v>
      </c>
      <c r="Y39" s="167">
        <v>13</v>
      </c>
      <c r="Z39" s="167">
        <v>13</v>
      </c>
      <c r="AA39" s="167">
        <v>17</v>
      </c>
      <c r="AB39" s="167">
        <v>19</v>
      </c>
      <c r="AC39" s="176">
        <v>17</v>
      </c>
      <c r="AD39" s="167">
        <v>31</v>
      </c>
      <c r="AE39" s="167">
        <v>24</v>
      </c>
      <c r="AF39" s="192">
        <v>16</v>
      </c>
    </row>
    <row r="40" spans="2:37" x14ac:dyDescent="0.2">
      <c r="B40" s="27" t="s">
        <v>20</v>
      </c>
      <c r="C40" s="8">
        <f>12+4+11+9</f>
        <v>36</v>
      </c>
      <c r="D40" s="9">
        <f>10+11+8+5</f>
        <v>34</v>
      </c>
      <c r="E40" s="8">
        <f>6+12+8+12</f>
        <v>38</v>
      </c>
      <c r="F40" s="9">
        <f>12+9+6+7</f>
        <v>34</v>
      </c>
      <c r="G40" s="8">
        <f>13+18+13+6</f>
        <v>50</v>
      </c>
      <c r="H40" s="9">
        <f>13+13+13+7</f>
        <v>46</v>
      </c>
      <c r="I40" s="9">
        <v>42</v>
      </c>
      <c r="J40" s="10">
        <v>39</v>
      </c>
      <c r="K40" s="11">
        <v>31</v>
      </c>
      <c r="L40" s="11">
        <v>39</v>
      </c>
      <c r="M40" s="11">
        <f>16+23</f>
        <v>39</v>
      </c>
      <c r="N40" s="14">
        <v>46</v>
      </c>
      <c r="O40" s="15">
        <f>30+11+0</f>
        <v>41</v>
      </c>
      <c r="P40" s="105">
        <v>50</v>
      </c>
      <c r="Q40" s="77">
        <v>52</v>
      </c>
      <c r="R40" s="77">
        <v>60</v>
      </c>
      <c r="S40" s="77">
        <v>69</v>
      </c>
      <c r="T40" s="168">
        <v>80</v>
      </c>
      <c r="U40" s="167">
        <v>78</v>
      </c>
      <c r="V40" s="167">
        <v>74</v>
      </c>
      <c r="W40" s="167">
        <v>86</v>
      </c>
      <c r="X40" s="176">
        <v>87</v>
      </c>
      <c r="Y40" s="167">
        <v>98</v>
      </c>
      <c r="Z40" s="167">
        <v>87</v>
      </c>
      <c r="AA40" s="167">
        <v>97</v>
      </c>
      <c r="AB40" s="167">
        <v>100</v>
      </c>
      <c r="AC40" s="176">
        <v>104</v>
      </c>
      <c r="AD40" s="167">
        <v>110</v>
      </c>
      <c r="AE40" s="167">
        <v>118</v>
      </c>
      <c r="AF40" s="192">
        <v>134</v>
      </c>
    </row>
    <row r="41" spans="2:37" x14ac:dyDescent="0.2">
      <c r="B41" s="7" t="s">
        <v>18</v>
      </c>
      <c r="C41" s="8">
        <f>14+20+10+25</f>
        <v>69</v>
      </c>
      <c r="D41" s="9">
        <f>15+22+12+39</f>
        <v>88</v>
      </c>
      <c r="E41" s="8">
        <f>11+21+20+34</f>
        <v>86</v>
      </c>
      <c r="F41" s="9">
        <f>13+14+14+43</f>
        <v>84</v>
      </c>
      <c r="G41" s="8">
        <f>8+24+24+35</f>
        <v>91</v>
      </c>
      <c r="H41" s="9">
        <f>15+35+12+18</f>
        <v>80</v>
      </c>
      <c r="I41" s="9">
        <v>87</v>
      </c>
      <c r="J41" s="10">
        <v>86</v>
      </c>
      <c r="K41" s="11">
        <v>66</v>
      </c>
      <c r="L41" s="11">
        <v>82</v>
      </c>
      <c r="M41" s="11">
        <f>22+58</f>
        <v>80</v>
      </c>
      <c r="N41" s="14">
        <v>74</v>
      </c>
      <c r="O41" s="15">
        <f>65+15+3</f>
        <v>83</v>
      </c>
      <c r="P41" s="105">
        <v>91</v>
      </c>
      <c r="Q41" s="77">
        <v>93</v>
      </c>
      <c r="R41" s="77">
        <v>150</v>
      </c>
      <c r="S41" s="77">
        <v>179</v>
      </c>
      <c r="T41" s="168">
        <v>206</v>
      </c>
      <c r="U41" s="167">
        <v>196</v>
      </c>
      <c r="V41" s="167">
        <v>162</v>
      </c>
      <c r="W41" s="167">
        <v>175</v>
      </c>
      <c r="X41" s="176">
        <v>159</v>
      </c>
      <c r="Y41" s="167">
        <v>169</v>
      </c>
      <c r="Z41" s="167">
        <v>156</v>
      </c>
      <c r="AA41" s="167">
        <v>159</v>
      </c>
      <c r="AB41" s="167">
        <v>169</v>
      </c>
      <c r="AC41" s="176">
        <v>185</v>
      </c>
      <c r="AD41" s="167">
        <v>182</v>
      </c>
      <c r="AE41" s="167">
        <v>182</v>
      </c>
      <c r="AF41" s="192">
        <v>174</v>
      </c>
      <c r="AK41" s="75"/>
    </row>
    <row r="42" spans="2:37" x14ac:dyDescent="0.2">
      <c r="B42" s="27" t="s">
        <v>49</v>
      </c>
      <c r="C42" s="8"/>
      <c r="D42" s="9"/>
      <c r="E42" s="8"/>
      <c r="F42" s="9"/>
      <c r="G42" s="8"/>
      <c r="H42" s="9"/>
      <c r="I42" s="9"/>
      <c r="J42" s="10"/>
      <c r="K42" s="11"/>
      <c r="L42" s="11"/>
      <c r="M42" s="11"/>
      <c r="N42" s="14"/>
      <c r="O42" s="15"/>
      <c r="P42" s="105"/>
      <c r="Q42" s="77"/>
      <c r="R42" s="77"/>
      <c r="S42" s="77"/>
      <c r="T42" s="169"/>
      <c r="U42" s="167">
        <v>0</v>
      </c>
      <c r="V42" s="167">
        <v>4</v>
      </c>
      <c r="W42" s="167">
        <v>4</v>
      </c>
      <c r="X42" s="176">
        <v>4</v>
      </c>
      <c r="Y42" s="167">
        <v>6</v>
      </c>
      <c r="Z42" s="167">
        <v>9</v>
      </c>
      <c r="AA42" s="167">
        <v>9</v>
      </c>
      <c r="AB42" s="167">
        <v>6</v>
      </c>
      <c r="AC42" s="176">
        <v>6</v>
      </c>
      <c r="AD42" s="167">
        <v>4</v>
      </c>
      <c r="AE42" s="167">
        <v>4</v>
      </c>
      <c r="AF42" s="192">
        <v>7</v>
      </c>
    </row>
    <row r="43" spans="2:37" x14ac:dyDescent="0.2">
      <c r="B43" s="7" t="s">
        <v>21</v>
      </c>
      <c r="C43" s="8">
        <f>2+9+6+7</f>
        <v>24</v>
      </c>
      <c r="D43" s="9">
        <f>6+11+2+4+1+6</f>
        <v>30</v>
      </c>
      <c r="E43" s="8">
        <f>8+6+9+10</f>
        <v>33</v>
      </c>
      <c r="F43" s="9">
        <f>14+10+12+10</f>
        <v>46</v>
      </c>
      <c r="G43" s="8">
        <f>15+12+16+18</f>
        <v>61</v>
      </c>
      <c r="H43" s="9">
        <f>11+11+14+15</f>
        <v>51</v>
      </c>
      <c r="I43" s="9">
        <v>46</v>
      </c>
      <c r="J43" s="10">
        <v>47</v>
      </c>
      <c r="K43" s="11">
        <v>46</v>
      </c>
      <c r="L43" s="11">
        <f>45+19</f>
        <v>64</v>
      </c>
      <c r="M43" s="11">
        <f>22+64</f>
        <v>86</v>
      </c>
      <c r="N43" s="14">
        <v>80</v>
      </c>
      <c r="O43" s="15">
        <v>76</v>
      </c>
      <c r="P43" s="105">
        <v>68</v>
      </c>
      <c r="Q43" s="77">
        <v>65</v>
      </c>
      <c r="R43" s="77">
        <f>44+29</f>
        <v>73</v>
      </c>
      <c r="S43" s="77">
        <v>107</v>
      </c>
      <c r="T43" s="168">
        <v>116</v>
      </c>
      <c r="U43" s="167">
        <v>124</v>
      </c>
      <c r="V43" s="167">
        <v>109</v>
      </c>
      <c r="W43" s="167">
        <v>117</v>
      </c>
      <c r="X43" s="176">
        <v>133</v>
      </c>
      <c r="Y43" s="167">
        <v>157</v>
      </c>
      <c r="Z43" s="167">
        <v>167</v>
      </c>
      <c r="AA43" s="167">
        <v>179</v>
      </c>
      <c r="AB43" s="167">
        <v>276</v>
      </c>
      <c r="AC43" s="176">
        <v>295</v>
      </c>
      <c r="AD43" s="167">
        <v>304</v>
      </c>
      <c r="AE43" s="167">
        <v>313</v>
      </c>
      <c r="AF43" s="192">
        <v>319</v>
      </c>
    </row>
    <row r="44" spans="2:37" x14ac:dyDescent="0.2">
      <c r="B44" s="181" t="s">
        <v>50</v>
      </c>
      <c r="C44" s="8"/>
      <c r="D44" s="9"/>
      <c r="E44" s="8"/>
      <c r="F44" s="9"/>
      <c r="G44" s="8"/>
      <c r="H44" s="9"/>
      <c r="I44" s="9"/>
      <c r="J44" s="10"/>
      <c r="K44" s="11"/>
      <c r="L44" s="11"/>
      <c r="M44" s="11"/>
      <c r="N44" s="14"/>
      <c r="O44" s="15"/>
      <c r="P44" s="105"/>
      <c r="Q44" s="77"/>
      <c r="R44" s="77"/>
      <c r="S44" s="162"/>
      <c r="T44" s="169"/>
      <c r="U44" s="167">
        <v>5</v>
      </c>
      <c r="V44" s="167">
        <v>4</v>
      </c>
      <c r="W44" s="167">
        <v>43</v>
      </c>
      <c r="X44" s="176">
        <v>48</v>
      </c>
      <c r="Y44" s="167">
        <v>59</v>
      </c>
      <c r="Z44" s="167">
        <v>59</v>
      </c>
      <c r="AA44" s="167">
        <v>71</v>
      </c>
      <c r="AB44" s="167">
        <v>91</v>
      </c>
      <c r="AC44" s="176">
        <v>99</v>
      </c>
      <c r="AD44" s="167">
        <v>92</v>
      </c>
      <c r="AE44" s="167">
        <v>101</v>
      </c>
      <c r="AF44" s="192">
        <v>115</v>
      </c>
    </row>
    <row r="45" spans="2:37" x14ac:dyDescent="0.2">
      <c r="B45" s="27" t="s">
        <v>41</v>
      </c>
      <c r="C45" s="8"/>
      <c r="D45" s="9"/>
      <c r="E45" s="8"/>
      <c r="F45" s="9"/>
      <c r="G45" s="8"/>
      <c r="H45" s="9"/>
      <c r="I45" s="9"/>
      <c r="J45" s="10">
        <v>1</v>
      </c>
      <c r="K45" s="11">
        <v>2</v>
      </c>
      <c r="L45" s="11">
        <f>2+17+3</f>
        <v>22</v>
      </c>
      <c r="M45" s="11">
        <f>7+21+6+11</f>
        <v>45</v>
      </c>
      <c r="N45" s="14">
        <v>51</v>
      </c>
      <c r="O45" s="15">
        <v>54</v>
      </c>
      <c r="P45" s="105">
        <v>91</v>
      </c>
      <c r="Q45" s="77">
        <v>102</v>
      </c>
      <c r="R45" s="77">
        <v>104</v>
      </c>
      <c r="S45" s="77">
        <v>135</v>
      </c>
      <c r="T45" s="168">
        <v>145</v>
      </c>
      <c r="U45" s="167">
        <v>281</v>
      </c>
      <c r="V45" s="167">
        <v>476</v>
      </c>
      <c r="W45" s="167">
        <v>32</v>
      </c>
      <c r="X45" s="176">
        <v>64</v>
      </c>
      <c r="Y45" s="167">
        <v>79</v>
      </c>
      <c r="Z45" s="167">
        <v>69</v>
      </c>
      <c r="AA45" s="167">
        <v>73</v>
      </c>
      <c r="AB45" s="167">
        <v>78</v>
      </c>
      <c r="AC45" s="176">
        <v>79</v>
      </c>
      <c r="AD45" s="167">
        <v>81</v>
      </c>
      <c r="AE45" s="167">
        <v>74</v>
      </c>
      <c r="AF45" s="192">
        <v>77</v>
      </c>
    </row>
    <row r="46" spans="2:37" ht="13.5" thickBot="1" x14ac:dyDescent="0.25">
      <c r="B46" s="7" t="s">
        <v>22</v>
      </c>
      <c r="C46" s="8">
        <f>106+336+18+81+232+27+614+1067</f>
        <v>2481</v>
      </c>
      <c r="D46" s="9">
        <f>608+916+100+314+19+16+228+109</f>
        <v>2310</v>
      </c>
      <c r="E46" s="8">
        <f>134+116+298+228+15+10+582+902</f>
        <v>2285</v>
      </c>
      <c r="F46" s="9">
        <f>138+101+329+256+9+7+540+850</f>
        <v>2230</v>
      </c>
      <c r="G46" s="8">
        <f>600+844+12+331+133+101+273+16</f>
        <v>2310</v>
      </c>
      <c r="H46" s="9">
        <f>125+321+9+107+273+10+525+777</f>
        <v>2147</v>
      </c>
      <c r="I46" s="9">
        <v>2135</v>
      </c>
      <c r="J46" s="10">
        <v>2126</v>
      </c>
      <c r="K46" s="11">
        <v>2101</v>
      </c>
      <c r="L46" s="11">
        <v>2272</v>
      </c>
      <c r="M46" s="11">
        <f>723+1508</f>
        <v>2231</v>
      </c>
      <c r="N46" s="14">
        <v>2150</v>
      </c>
      <c r="O46" s="15">
        <f>1693+418+69</f>
        <v>2180</v>
      </c>
      <c r="P46" s="105">
        <v>2385</v>
      </c>
      <c r="Q46" s="77">
        <v>2494</v>
      </c>
      <c r="R46" s="77">
        <v>2810</v>
      </c>
      <c r="S46" s="77">
        <v>2715</v>
      </c>
      <c r="T46" s="168">
        <v>2999</v>
      </c>
      <c r="U46" s="167">
        <v>3078</v>
      </c>
      <c r="V46" s="167">
        <v>2722</v>
      </c>
      <c r="W46" s="167">
        <v>2633</v>
      </c>
      <c r="X46" s="176">
        <v>2753</v>
      </c>
      <c r="Y46" s="167">
        <v>2741</v>
      </c>
      <c r="Z46" s="167">
        <v>2665</v>
      </c>
      <c r="AA46" s="167">
        <v>2585</v>
      </c>
      <c r="AB46" s="167">
        <v>2706</v>
      </c>
      <c r="AC46" s="176">
        <v>2671</v>
      </c>
      <c r="AD46" s="167">
        <v>2738</v>
      </c>
      <c r="AE46" s="167">
        <v>2658</v>
      </c>
      <c r="AF46" s="196">
        <v>2608</v>
      </c>
    </row>
    <row r="47" spans="2:37" ht="13.5" thickTop="1" x14ac:dyDescent="0.2">
      <c r="B47" s="16" t="s">
        <v>24</v>
      </c>
      <c r="C47" s="17">
        <f t="shared" ref="C47:J47" si="8">SUM(C48:C49)</f>
        <v>361</v>
      </c>
      <c r="D47" s="18">
        <f t="shared" si="8"/>
        <v>360</v>
      </c>
      <c r="E47" s="17">
        <f t="shared" si="8"/>
        <v>360</v>
      </c>
      <c r="F47" s="18">
        <f t="shared" si="8"/>
        <v>355</v>
      </c>
      <c r="G47" s="17">
        <f t="shared" si="8"/>
        <v>362</v>
      </c>
      <c r="H47" s="18">
        <f t="shared" si="8"/>
        <v>366</v>
      </c>
      <c r="I47" s="18">
        <f t="shared" si="8"/>
        <v>373</v>
      </c>
      <c r="J47" s="19">
        <f t="shared" si="8"/>
        <v>384</v>
      </c>
      <c r="K47" s="20">
        <f>SUM(K48:K49)</f>
        <v>395</v>
      </c>
      <c r="L47" s="20">
        <f>SUM(L48:L49)</f>
        <v>396</v>
      </c>
      <c r="M47" s="20">
        <f>SUM(M48:M49)</f>
        <v>400</v>
      </c>
      <c r="N47" s="20">
        <v>401</v>
      </c>
      <c r="O47" s="146">
        <f t="shared" ref="O47:T47" si="9">SUM(O48:O49)</f>
        <v>405</v>
      </c>
      <c r="P47" s="127">
        <f t="shared" si="9"/>
        <v>433</v>
      </c>
      <c r="Q47" s="130">
        <f t="shared" si="9"/>
        <v>434</v>
      </c>
      <c r="R47" s="130">
        <f t="shared" si="9"/>
        <v>428</v>
      </c>
      <c r="S47" s="130">
        <f t="shared" si="9"/>
        <v>433</v>
      </c>
      <c r="T47" s="131">
        <f t="shared" si="9"/>
        <v>428</v>
      </c>
      <c r="U47" s="130">
        <f t="shared" ref="U47:Z47" si="10">SUM(U48:U49)</f>
        <v>439</v>
      </c>
      <c r="V47" s="130">
        <f t="shared" si="10"/>
        <v>437</v>
      </c>
      <c r="W47" s="130">
        <f t="shared" si="10"/>
        <v>462</v>
      </c>
      <c r="X47" s="177">
        <f t="shared" si="10"/>
        <v>457</v>
      </c>
      <c r="Y47" s="130">
        <f t="shared" si="10"/>
        <v>464</v>
      </c>
      <c r="Z47" s="130">
        <f t="shared" si="10"/>
        <v>465</v>
      </c>
      <c r="AA47" s="130">
        <f t="shared" ref="AA47" si="11">SUM(AA48:AA49)</f>
        <v>476</v>
      </c>
      <c r="AB47" s="130">
        <v>477</v>
      </c>
      <c r="AC47" s="177">
        <v>476</v>
      </c>
      <c r="AD47" s="130">
        <v>480</v>
      </c>
      <c r="AE47" s="130">
        <v>476</v>
      </c>
      <c r="AF47" s="132">
        <f>SUM(AF48:AF49)</f>
        <v>493</v>
      </c>
    </row>
    <row r="48" spans="2:37" x14ac:dyDescent="0.2">
      <c r="B48" s="181" t="s">
        <v>52</v>
      </c>
      <c r="C48" s="8">
        <f>47+37+147+130</f>
        <v>361</v>
      </c>
      <c r="D48" s="9">
        <f>48+40+137+132</f>
        <v>357</v>
      </c>
      <c r="E48" s="8">
        <f>47+44+140+125</f>
        <v>356</v>
      </c>
      <c r="F48" s="9">
        <f>189+163</f>
        <v>352</v>
      </c>
      <c r="G48" s="8">
        <f>47+50+142+122</f>
        <v>361</v>
      </c>
      <c r="H48" s="9">
        <f>179+185</f>
        <v>364</v>
      </c>
      <c r="I48" s="9">
        <v>367</v>
      </c>
      <c r="J48" s="10">
        <v>381</v>
      </c>
      <c r="K48" s="11">
        <v>394</v>
      </c>
      <c r="L48" s="11">
        <v>395</v>
      </c>
      <c r="M48" s="11">
        <v>399</v>
      </c>
      <c r="N48" s="12">
        <v>399</v>
      </c>
      <c r="O48" s="13">
        <v>403</v>
      </c>
      <c r="P48" s="104">
        <v>429</v>
      </c>
      <c r="Q48" s="77">
        <v>428</v>
      </c>
      <c r="R48" s="77">
        <v>420</v>
      </c>
      <c r="S48" s="77">
        <v>425</v>
      </c>
      <c r="T48" s="168">
        <v>423</v>
      </c>
      <c r="U48" s="167">
        <v>429</v>
      </c>
      <c r="V48" s="167">
        <v>432</v>
      </c>
      <c r="W48" s="167">
        <v>457</v>
      </c>
      <c r="X48" s="176">
        <v>451</v>
      </c>
      <c r="Y48" s="167">
        <v>452</v>
      </c>
      <c r="Z48" s="167">
        <v>447</v>
      </c>
      <c r="AA48" s="167">
        <v>452</v>
      </c>
      <c r="AB48" s="167">
        <v>466</v>
      </c>
      <c r="AC48" s="176">
        <v>476</v>
      </c>
      <c r="AD48" s="167">
        <v>477</v>
      </c>
      <c r="AE48" s="167">
        <v>469</v>
      </c>
      <c r="AF48" s="192">
        <v>490</v>
      </c>
    </row>
    <row r="49" spans="1:32" x14ac:dyDescent="0.2">
      <c r="B49" s="7" t="s">
        <v>12</v>
      </c>
      <c r="C49" s="8">
        <v>0</v>
      </c>
      <c r="D49" s="9">
        <v>3</v>
      </c>
      <c r="E49" s="8">
        <f>1+3</f>
        <v>4</v>
      </c>
      <c r="F49" s="9">
        <v>3</v>
      </c>
      <c r="G49" s="8">
        <v>1</v>
      </c>
      <c r="H49" s="9">
        <v>2</v>
      </c>
      <c r="I49" s="9">
        <v>6</v>
      </c>
      <c r="J49" s="10">
        <v>3</v>
      </c>
      <c r="K49" s="11">
        <v>1</v>
      </c>
      <c r="L49" s="11">
        <v>1</v>
      </c>
      <c r="M49" s="11">
        <v>1</v>
      </c>
      <c r="N49" s="12">
        <v>2</v>
      </c>
      <c r="O49" s="13">
        <v>2</v>
      </c>
      <c r="P49" s="104">
        <v>4</v>
      </c>
      <c r="Q49" s="77">
        <v>6</v>
      </c>
      <c r="R49" s="77">
        <v>8</v>
      </c>
      <c r="S49" s="77">
        <v>8</v>
      </c>
      <c r="T49" s="168">
        <v>5</v>
      </c>
      <c r="U49" s="167">
        <v>10</v>
      </c>
      <c r="V49" s="167">
        <v>5</v>
      </c>
      <c r="W49" s="167">
        <v>5</v>
      </c>
      <c r="X49" s="176">
        <v>6</v>
      </c>
      <c r="Y49" s="167">
        <v>12</v>
      </c>
      <c r="Z49" s="167">
        <v>18</v>
      </c>
      <c r="AA49" s="167">
        <v>24</v>
      </c>
      <c r="AB49" s="167">
        <v>11</v>
      </c>
      <c r="AC49" s="176">
        <v>0</v>
      </c>
      <c r="AD49" s="167">
        <v>3</v>
      </c>
      <c r="AE49" s="167">
        <v>7</v>
      </c>
      <c r="AF49" s="192">
        <v>3</v>
      </c>
    </row>
    <row r="50" spans="1:32" x14ac:dyDescent="0.2">
      <c r="B50" s="7" t="s">
        <v>13</v>
      </c>
      <c r="C50" s="22">
        <v>200</v>
      </c>
      <c r="D50" s="23">
        <v>190</v>
      </c>
      <c r="E50" s="22">
        <v>192</v>
      </c>
      <c r="F50" s="23">
        <v>186</v>
      </c>
      <c r="G50" s="22">
        <v>193</v>
      </c>
      <c r="H50" s="23">
        <v>197</v>
      </c>
      <c r="I50" s="23">
        <v>194</v>
      </c>
      <c r="J50" s="10">
        <v>196</v>
      </c>
      <c r="K50" s="11">
        <v>195</v>
      </c>
      <c r="L50" s="11">
        <v>192</v>
      </c>
      <c r="M50" s="11">
        <f>64+63+70+72</f>
        <v>269</v>
      </c>
      <c r="N50" s="14">
        <v>185</v>
      </c>
      <c r="O50" s="15">
        <v>187</v>
      </c>
      <c r="P50" s="105">
        <v>190</v>
      </c>
      <c r="Q50" s="77">
        <v>200</v>
      </c>
      <c r="R50" s="77">
        <v>201</v>
      </c>
      <c r="S50" s="77">
        <v>198</v>
      </c>
      <c r="T50" s="168">
        <v>188</v>
      </c>
      <c r="U50" s="167">
        <v>191</v>
      </c>
      <c r="V50" s="167">
        <v>175</v>
      </c>
      <c r="W50" s="167">
        <v>181</v>
      </c>
      <c r="X50" s="176">
        <v>182</v>
      </c>
      <c r="Y50" s="167">
        <v>180</v>
      </c>
      <c r="Z50" s="167">
        <v>184</v>
      </c>
      <c r="AA50" s="167">
        <v>182</v>
      </c>
      <c r="AB50" s="167">
        <v>203</v>
      </c>
      <c r="AC50" s="176">
        <v>207</v>
      </c>
      <c r="AD50" s="167">
        <v>202</v>
      </c>
      <c r="AE50" s="167">
        <v>217</v>
      </c>
      <c r="AF50" s="192">
        <v>228</v>
      </c>
    </row>
    <row r="51" spans="1:32" x14ac:dyDescent="0.2">
      <c r="B51" s="7" t="s">
        <v>14</v>
      </c>
      <c r="C51" s="22">
        <v>161</v>
      </c>
      <c r="D51" s="23">
        <v>170</v>
      </c>
      <c r="E51" s="22">
        <v>168</v>
      </c>
      <c r="F51" s="23">
        <v>169</v>
      </c>
      <c r="G51" s="22">
        <v>169</v>
      </c>
      <c r="H51" s="23">
        <v>169</v>
      </c>
      <c r="I51" s="23">
        <v>179</v>
      </c>
      <c r="J51" s="10">
        <v>188</v>
      </c>
      <c r="K51" s="11">
        <v>200</v>
      </c>
      <c r="L51" s="11">
        <v>204</v>
      </c>
      <c r="M51" s="11">
        <v>131</v>
      </c>
      <c r="N51" s="14">
        <v>216</v>
      </c>
      <c r="O51" s="15">
        <v>218</v>
      </c>
      <c r="P51" s="105">
        <v>243</v>
      </c>
      <c r="Q51" s="77">
        <v>234</v>
      </c>
      <c r="R51" s="77">
        <v>227</v>
      </c>
      <c r="S51" s="77">
        <v>235</v>
      </c>
      <c r="T51" s="168">
        <v>240</v>
      </c>
      <c r="U51" s="167">
        <v>248</v>
      </c>
      <c r="V51" s="167">
        <v>262</v>
      </c>
      <c r="W51" s="167">
        <v>281</v>
      </c>
      <c r="X51" s="176">
        <v>275</v>
      </c>
      <c r="Y51" s="167">
        <v>284</v>
      </c>
      <c r="Z51" s="167">
        <v>281</v>
      </c>
      <c r="AA51" s="167">
        <v>294</v>
      </c>
      <c r="AB51" s="167">
        <v>274</v>
      </c>
      <c r="AC51" s="176">
        <v>269</v>
      </c>
      <c r="AD51" s="167">
        <v>278</v>
      </c>
      <c r="AE51" s="167">
        <v>259</v>
      </c>
      <c r="AF51" s="192">
        <v>265</v>
      </c>
    </row>
    <row r="52" spans="1:32" x14ac:dyDescent="0.2">
      <c r="B52" s="7" t="s">
        <v>15</v>
      </c>
      <c r="C52" s="8">
        <f>47+147</f>
        <v>194</v>
      </c>
      <c r="D52" s="9">
        <f>48+137+1</f>
        <v>186</v>
      </c>
      <c r="E52" s="8">
        <f>47+140+1</f>
        <v>188</v>
      </c>
      <c r="F52" s="9">
        <f>3+189</f>
        <v>192</v>
      </c>
      <c r="G52" s="8">
        <f>47+142</f>
        <v>189</v>
      </c>
      <c r="H52" s="9">
        <f>179+2</f>
        <v>181</v>
      </c>
      <c r="I52" s="9">
        <v>177</v>
      </c>
      <c r="J52" s="10">
        <v>165</v>
      </c>
      <c r="K52" s="11">
        <v>163</v>
      </c>
      <c r="L52" s="11">
        <v>151</v>
      </c>
      <c r="M52" s="11">
        <f>1+138</f>
        <v>139</v>
      </c>
      <c r="N52" s="14">
        <v>140</v>
      </c>
      <c r="O52" s="15">
        <v>137</v>
      </c>
      <c r="P52" s="105">
        <v>142</v>
      </c>
      <c r="Q52" s="77">
        <v>142</v>
      </c>
      <c r="R52" s="77">
        <v>131</v>
      </c>
      <c r="S52" s="77">
        <v>124</v>
      </c>
      <c r="T52" s="168">
        <v>121</v>
      </c>
      <c r="U52" s="167">
        <v>120</v>
      </c>
      <c r="V52" s="167">
        <v>119</v>
      </c>
      <c r="W52" s="167">
        <v>118</v>
      </c>
      <c r="X52" s="176">
        <v>116</v>
      </c>
      <c r="Y52" s="167">
        <v>116</v>
      </c>
      <c r="Z52" s="167">
        <v>108</v>
      </c>
      <c r="AA52" s="167">
        <v>103</v>
      </c>
      <c r="AB52" s="167">
        <v>102</v>
      </c>
      <c r="AC52" s="176">
        <v>88</v>
      </c>
      <c r="AD52" s="167">
        <v>81</v>
      </c>
      <c r="AE52" s="167">
        <v>70</v>
      </c>
      <c r="AF52" s="192">
        <v>72</v>
      </c>
    </row>
    <row r="53" spans="1:32" x14ac:dyDescent="0.2">
      <c r="B53" s="7" t="s">
        <v>16</v>
      </c>
      <c r="C53" s="8">
        <f>37+130</f>
        <v>167</v>
      </c>
      <c r="D53" s="9">
        <f>2+40+132</f>
        <v>174</v>
      </c>
      <c r="E53" s="8">
        <f>3+44+125</f>
        <v>172</v>
      </c>
      <c r="F53" s="9">
        <v>163</v>
      </c>
      <c r="G53" s="8">
        <f>50+122+1</f>
        <v>173</v>
      </c>
      <c r="H53" s="9">
        <v>185</v>
      </c>
      <c r="I53" s="9">
        <v>196</v>
      </c>
      <c r="J53" s="10">
        <v>219</v>
      </c>
      <c r="K53" s="11">
        <v>232</v>
      </c>
      <c r="L53" s="11">
        <v>245</v>
      </c>
      <c r="M53" s="147">
        <v>261</v>
      </c>
      <c r="N53" s="21">
        <v>261</v>
      </c>
      <c r="O53" s="13">
        <v>268</v>
      </c>
      <c r="P53" s="104">
        <v>291</v>
      </c>
      <c r="Q53" s="77">
        <v>292</v>
      </c>
      <c r="R53" s="77">
        <v>297</v>
      </c>
      <c r="S53" s="77">
        <v>309</v>
      </c>
      <c r="T53" s="168">
        <v>307</v>
      </c>
      <c r="U53" s="167">
        <v>319</v>
      </c>
      <c r="V53" s="167">
        <v>318</v>
      </c>
      <c r="W53" s="167">
        <v>344</v>
      </c>
      <c r="X53" s="176">
        <v>341</v>
      </c>
      <c r="Y53" s="167">
        <v>348</v>
      </c>
      <c r="Z53" s="167">
        <v>357</v>
      </c>
      <c r="AA53" s="167">
        <v>373</v>
      </c>
      <c r="AB53" s="167">
        <v>375</v>
      </c>
      <c r="AC53" s="176">
        <v>388</v>
      </c>
      <c r="AD53" s="167">
        <v>399</v>
      </c>
      <c r="AE53" s="167">
        <v>406</v>
      </c>
      <c r="AF53" s="192">
        <v>421</v>
      </c>
    </row>
    <row r="54" spans="1:32" x14ac:dyDescent="0.2">
      <c r="B54" s="27" t="s">
        <v>45</v>
      </c>
      <c r="C54" s="8"/>
      <c r="D54" s="9"/>
      <c r="E54" s="8"/>
      <c r="F54" s="9"/>
      <c r="G54" s="8"/>
      <c r="H54" s="9"/>
      <c r="I54" s="9"/>
      <c r="J54" s="21">
        <v>0</v>
      </c>
      <c r="K54" s="11">
        <f>0</f>
        <v>0</v>
      </c>
      <c r="L54" s="11">
        <v>0</v>
      </c>
      <c r="M54" s="147">
        <f>1</f>
        <v>1</v>
      </c>
      <c r="N54" s="13">
        <v>0</v>
      </c>
      <c r="O54" s="13">
        <v>0</v>
      </c>
      <c r="P54" s="104">
        <v>0</v>
      </c>
      <c r="Q54" s="77">
        <v>0</v>
      </c>
      <c r="R54" s="77">
        <v>0</v>
      </c>
      <c r="S54" s="77">
        <v>0</v>
      </c>
      <c r="T54" s="168">
        <v>0</v>
      </c>
      <c r="U54" s="167">
        <v>0</v>
      </c>
      <c r="V54" s="167">
        <v>0</v>
      </c>
      <c r="W54" s="167">
        <v>0</v>
      </c>
      <c r="X54" s="176">
        <v>0</v>
      </c>
      <c r="Y54" s="167">
        <v>0</v>
      </c>
      <c r="Z54" s="167">
        <v>0</v>
      </c>
      <c r="AA54" s="167">
        <v>0</v>
      </c>
      <c r="AB54" s="167">
        <v>0</v>
      </c>
      <c r="AC54" s="176">
        <v>0</v>
      </c>
      <c r="AD54" s="167">
        <v>0</v>
      </c>
      <c r="AE54" s="167">
        <v>0</v>
      </c>
      <c r="AF54" s="192">
        <v>0</v>
      </c>
    </row>
    <row r="55" spans="1:32" ht="13.5" thickBot="1" x14ac:dyDescent="0.25">
      <c r="B55" s="27" t="s">
        <v>46</v>
      </c>
      <c r="C55" s="24"/>
      <c r="D55" s="24"/>
      <c r="E55" s="24"/>
      <c r="F55" s="24"/>
      <c r="G55" s="24"/>
      <c r="H55" s="24"/>
      <c r="I55" s="24"/>
      <c r="J55" s="25">
        <f>26+189</f>
        <v>215</v>
      </c>
      <c r="K55" s="25">
        <f>27+189</f>
        <v>216</v>
      </c>
      <c r="L55" s="25">
        <f>22+185</f>
        <v>207</v>
      </c>
      <c r="M55" s="148">
        <f>24+194</f>
        <v>218</v>
      </c>
      <c r="N55" s="13">
        <v>217</v>
      </c>
      <c r="O55" s="13">
        <v>210</v>
      </c>
      <c r="P55" s="104">
        <v>225</v>
      </c>
      <c r="Q55" s="77">
        <v>219</v>
      </c>
      <c r="R55" s="77">
        <v>220</v>
      </c>
      <c r="S55" s="77">
        <v>221</v>
      </c>
      <c r="T55" s="168">
        <v>196</v>
      </c>
      <c r="U55" s="167">
        <v>197</v>
      </c>
      <c r="V55" s="167">
        <v>207</v>
      </c>
      <c r="W55" s="167">
        <v>236</v>
      </c>
      <c r="X55" s="176">
        <v>233</v>
      </c>
      <c r="Y55" s="167">
        <v>244</v>
      </c>
      <c r="Z55" s="167">
        <v>246</v>
      </c>
      <c r="AA55" s="167">
        <v>254</v>
      </c>
      <c r="AB55" s="167">
        <v>280</v>
      </c>
      <c r="AC55" s="176">
        <v>285</v>
      </c>
      <c r="AD55" s="167">
        <v>277</v>
      </c>
      <c r="AE55" s="167">
        <v>278</v>
      </c>
      <c r="AF55" s="192">
        <v>278</v>
      </c>
    </row>
    <row r="56" spans="1:32" x14ac:dyDescent="0.2">
      <c r="A56" s="78"/>
      <c r="B56" s="27" t="s">
        <v>47</v>
      </c>
      <c r="C56" s="8"/>
      <c r="D56" s="9"/>
      <c r="E56" s="8"/>
      <c r="F56" s="9"/>
      <c r="G56" s="8"/>
      <c r="H56" s="9"/>
      <c r="I56" s="9"/>
      <c r="J56" s="10">
        <f>116+44</f>
        <v>160</v>
      </c>
      <c r="K56" s="11">
        <f>125+43</f>
        <v>168</v>
      </c>
      <c r="L56" s="11">
        <f>140+41</f>
        <v>181</v>
      </c>
      <c r="M56" s="147">
        <f>131+43</f>
        <v>174</v>
      </c>
      <c r="N56" s="13">
        <v>175</v>
      </c>
      <c r="O56" s="13">
        <v>185</v>
      </c>
      <c r="P56" s="104">
        <v>197</v>
      </c>
      <c r="Q56" s="77">
        <v>210</v>
      </c>
      <c r="R56" s="77">
        <v>203</v>
      </c>
      <c r="S56" s="77">
        <v>206</v>
      </c>
      <c r="T56" s="168">
        <v>224</v>
      </c>
      <c r="U56" s="167">
        <v>234</v>
      </c>
      <c r="V56" s="167">
        <v>222</v>
      </c>
      <c r="W56" s="167">
        <v>219</v>
      </c>
      <c r="X56" s="176">
        <v>216</v>
      </c>
      <c r="Y56" s="167">
        <v>212</v>
      </c>
      <c r="Z56" s="167">
        <v>214</v>
      </c>
      <c r="AA56" s="167">
        <v>217</v>
      </c>
      <c r="AB56" s="167">
        <v>195</v>
      </c>
      <c r="AC56" s="176">
        <v>189</v>
      </c>
      <c r="AD56" s="167">
        <v>201</v>
      </c>
      <c r="AE56" s="167">
        <v>194</v>
      </c>
      <c r="AF56" s="192">
        <v>211</v>
      </c>
    </row>
    <row r="57" spans="1:32" x14ac:dyDescent="0.2">
      <c r="B57" s="27" t="s">
        <v>48</v>
      </c>
      <c r="C57" s="8"/>
      <c r="D57" s="9"/>
      <c r="E57" s="8"/>
      <c r="F57" s="9"/>
      <c r="G57" s="8"/>
      <c r="H57" s="9"/>
      <c r="I57" s="9"/>
      <c r="J57" s="10">
        <v>9</v>
      </c>
      <c r="K57" s="11">
        <f>11</f>
        <v>11</v>
      </c>
      <c r="L57" s="11">
        <f>7+1</f>
        <v>8</v>
      </c>
      <c r="M57" s="11">
        <v>7</v>
      </c>
      <c r="N57" s="13">
        <v>9</v>
      </c>
      <c r="O57" s="13">
        <v>10</v>
      </c>
      <c r="P57" s="104">
        <v>11</v>
      </c>
      <c r="Q57" s="77">
        <v>5</v>
      </c>
      <c r="R57" s="77">
        <v>5</v>
      </c>
      <c r="S57" s="77">
        <v>6</v>
      </c>
      <c r="T57" s="168">
        <v>8</v>
      </c>
      <c r="U57" s="167">
        <v>8</v>
      </c>
      <c r="V57" s="167">
        <v>8</v>
      </c>
      <c r="W57" s="167">
        <v>7</v>
      </c>
      <c r="X57" s="176">
        <v>8</v>
      </c>
      <c r="Y57" s="167">
        <v>8</v>
      </c>
      <c r="Z57" s="167">
        <v>5</v>
      </c>
      <c r="AA57" s="167">
        <v>5</v>
      </c>
      <c r="AB57" s="167">
        <v>2</v>
      </c>
      <c r="AC57" s="176">
        <v>2</v>
      </c>
      <c r="AD57" s="167">
        <v>2</v>
      </c>
      <c r="AE57" s="167">
        <v>4</v>
      </c>
      <c r="AF57" s="192">
        <v>4</v>
      </c>
    </row>
    <row r="58" spans="1:32" x14ac:dyDescent="0.2">
      <c r="B58" s="7" t="s">
        <v>17</v>
      </c>
      <c r="C58" s="8"/>
      <c r="D58" s="9"/>
      <c r="E58" s="8"/>
      <c r="F58" s="9"/>
      <c r="G58" s="8"/>
      <c r="H58" s="9"/>
      <c r="I58" s="9"/>
      <c r="J58" s="10"/>
      <c r="K58" s="11"/>
      <c r="L58" s="11">
        <v>0</v>
      </c>
      <c r="M58" s="11">
        <v>0</v>
      </c>
      <c r="N58" s="14">
        <v>0</v>
      </c>
      <c r="O58" s="15">
        <v>0</v>
      </c>
      <c r="P58" s="105">
        <v>1</v>
      </c>
      <c r="Q58" s="77">
        <v>1</v>
      </c>
      <c r="R58" s="77">
        <v>2</v>
      </c>
      <c r="S58" s="77">
        <v>1</v>
      </c>
      <c r="T58" s="168">
        <v>3</v>
      </c>
      <c r="U58" s="167">
        <v>4</v>
      </c>
      <c r="V58" s="167">
        <v>2</v>
      </c>
      <c r="W58" s="167">
        <v>6</v>
      </c>
      <c r="X58" s="176">
        <v>4</v>
      </c>
      <c r="Y58" s="167">
        <v>5</v>
      </c>
      <c r="Z58" s="167">
        <v>8</v>
      </c>
      <c r="AA58" s="167">
        <v>7</v>
      </c>
      <c r="AB58" s="167">
        <v>10</v>
      </c>
      <c r="AC58" s="176">
        <v>9</v>
      </c>
      <c r="AD58" s="167">
        <v>9</v>
      </c>
      <c r="AE58" s="167">
        <v>10</v>
      </c>
      <c r="AF58" s="192">
        <v>9</v>
      </c>
    </row>
    <row r="59" spans="1:32" x14ac:dyDescent="0.2">
      <c r="B59" s="7" t="s">
        <v>19</v>
      </c>
      <c r="C59" s="8"/>
      <c r="D59" s="9">
        <f>1+1</f>
        <v>2</v>
      </c>
      <c r="E59" s="8">
        <f>1+2</f>
        <v>3</v>
      </c>
      <c r="F59" s="9">
        <v>2</v>
      </c>
      <c r="G59" s="8">
        <v>2</v>
      </c>
      <c r="H59" s="9">
        <v>1</v>
      </c>
      <c r="I59" s="9">
        <v>1</v>
      </c>
      <c r="J59" s="10">
        <v>3</v>
      </c>
      <c r="K59" s="11">
        <v>3</v>
      </c>
      <c r="L59" s="11">
        <v>3</v>
      </c>
      <c r="M59" s="11">
        <v>2</v>
      </c>
      <c r="N59" s="12">
        <v>0</v>
      </c>
      <c r="O59" s="13">
        <v>0</v>
      </c>
      <c r="P59" s="104">
        <v>0</v>
      </c>
      <c r="Q59" s="77">
        <v>0</v>
      </c>
      <c r="R59" s="77">
        <v>1</v>
      </c>
      <c r="S59" s="77">
        <v>2</v>
      </c>
      <c r="T59" s="168">
        <v>2</v>
      </c>
      <c r="U59" s="167">
        <v>4</v>
      </c>
      <c r="V59" s="167">
        <v>5</v>
      </c>
      <c r="W59" s="167">
        <v>2</v>
      </c>
      <c r="X59" s="176">
        <v>2</v>
      </c>
      <c r="Y59" s="167">
        <v>2</v>
      </c>
      <c r="Z59" s="167">
        <v>1</v>
      </c>
      <c r="AA59" s="167">
        <v>2</v>
      </c>
      <c r="AB59" s="167">
        <v>2</v>
      </c>
      <c r="AC59" s="176">
        <v>1</v>
      </c>
      <c r="AD59" s="167">
        <v>3</v>
      </c>
      <c r="AE59" s="167">
        <v>2</v>
      </c>
      <c r="AF59" s="192">
        <v>3</v>
      </c>
    </row>
    <row r="60" spans="1:32" x14ac:dyDescent="0.2">
      <c r="B60" s="27" t="s">
        <v>20</v>
      </c>
      <c r="C60" s="8">
        <v>1</v>
      </c>
      <c r="D60" s="9">
        <f>1+1</f>
        <v>2</v>
      </c>
      <c r="E60" s="8">
        <v>2</v>
      </c>
      <c r="F60" s="9">
        <v>3</v>
      </c>
      <c r="G60" s="8">
        <f>2+1</f>
        <v>3</v>
      </c>
      <c r="H60" s="9">
        <v>2</v>
      </c>
      <c r="I60" s="9">
        <v>2</v>
      </c>
      <c r="J60" s="10">
        <v>2</v>
      </c>
      <c r="K60" s="11">
        <v>1</v>
      </c>
      <c r="L60" s="11">
        <v>1</v>
      </c>
      <c r="M60" s="11">
        <v>1</v>
      </c>
      <c r="N60" s="12">
        <v>1</v>
      </c>
      <c r="O60" s="13">
        <v>3</v>
      </c>
      <c r="P60" s="104">
        <v>4</v>
      </c>
      <c r="Q60" s="77">
        <v>4</v>
      </c>
      <c r="R60" s="77">
        <v>5</v>
      </c>
      <c r="S60" s="77">
        <v>7</v>
      </c>
      <c r="T60" s="168">
        <v>5</v>
      </c>
      <c r="U60" s="167">
        <v>8</v>
      </c>
      <c r="V60" s="167">
        <v>12</v>
      </c>
      <c r="W60" s="167">
        <v>16</v>
      </c>
      <c r="X60" s="176">
        <v>19</v>
      </c>
      <c r="Y60" s="167">
        <v>19</v>
      </c>
      <c r="Z60" s="167">
        <v>19</v>
      </c>
      <c r="AA60" s="167">
        <v>19</v>
      </c>
      <c r="AB60" s="167">
        <v>12</v>
      </c>
      <c r="AC60" s="176">
        <v>12</v>
      </c>
      <c r="AD60" s="167">
        <v>12</v>
      </c>
      <c r="AE60" s="167">
        <v>12</v>
      </c>
      <c r="AF60" s="192">
        <v>7</v>
      </c>
    </row>
    <row r="61" spans="1:32" x14ac:dyDescent="0.2">
      <c r="B61" s="7" t="s">
        <v>18</v>
      </c>
      <c r="C61" s="8"/>
      <c r="D61" s="9">
        <v>1</v>
      </c>
      <c r="E61" s="8">
        <v>1</v>
      </c>
      <c r="F61" s="9">
        <v>1</v>
      </c>
      <c r="G61" s="8">
        <f>1+1</f>
        <v>2</v>
      </c>
      <c r="H61" s="9">
        <v>1</v>
      </c>
      <c r="I61" s="9">
        <v>1</v>
      </c>
      <c r="J61" s="10">
        <v>1</v>
      </c>
      <c r="K61" s="11">
        <v>1</v>
      </c>
      <c r="L61" s="11">
        <v>1</v>
      </c>
      <c r="M61" s="11">
        <v>1</v>
      </c>
      <c r="N61" s="12">
        <v>2</v>
      </c>
      <c r="O61" s="13">
        <v>1</v>
      </c>
      <c r="P61" s="104">
        <v>1</v>
      </c>
      <c r="Q61" s="77">
        <v>1</v>
      </c>
      <c r="R61" s="77">
        <v>1</v>
      </c>
      <c r="S61" s="77">
        <v>1</v>
      </c>
      <c r="T61" s="168">
        <v>2</v>
      </c>
      <c r="U61" s="167">
        <v>2</v>
      </c>
      <c r="V61" s="167">
        <v>2</v>
      </c>
      <c r="W61" s="167">
        <v>0</v>
      </c>
      <c r="X61" s="176">
        <v>1</v>
      </c>
      <c r="Y61" s="167">
        <v>3</v>
      </c>
      <c r="Z61" s="167">
        <v>3</v>
      </c>
      <c r="AA61" s="167">
        <v>2</v>
      </c>
      <c r="AB61" s="167">
        <v>2</v>
      </c>
      <c r="AC61" s="176">
        <v>1</v>
      </c>
      <c r="AD61" s="167">
        <v>0</v>
      </c>
      <c r="AE61" s="167">
        <v>0</v>
      </c>
      <c r="AF61" s="192">
        <v>0</v>
      </c>
    </row>
    <row r="62" spans="1:32" x14ac:dyDescent="0.2">
      <c r="B62" s="27" t="s">
        <v>49</v>
      </c>
      <c r="C62" s="8"/>
      <c r="D62" s="9"/>
      <c r="E62" s="8"/>
      <c r="F62" s="9"/>
      <c r="G62" s="8"/>
      <c r="H62" s="9"/>
      <c r="I62" s="9"/>
      <c r="J62" s="10"/>
      <c r="K62" s="11"/>
      <c r="L62" s="11"/>
      <c r="M62" s="11"/>
      <c r="N62" s="12"/>
      <c r="O62" s="13"/>
      <c r="P62" s="104"/>
      <c r="Q62" s="77"/>
      <c r="R62" s="77"/>
      <c r="S62" s="77"/>
      <c r="T62" s="169"/>
      <c r="U62" s="167">
        <v>0</v>
      </c>
      <c r="V62" s="167">
        <v>0</v>
      </c>
      <c r="W62" s="167">
        <v>0</v>
      </c>
      <c r="X62" s="176">
        <v>0</v>
      </c>
      <c r="Y62" s="167">
        <v>0</v>
      </c>
      <c r="Z62" s="167">
        <v>1</v>
      </c>
      <c r="AA62" s="167">
        <v>1</v>
      </c>
      <c r="AB62" s="167">
        <v>0</v>
      </c>
      <c r="AC62" s="176">
        <v>0</v>
      </c>
      <c r="AD62" s="167">
        <v>0</v>
      </c>
      <c r="AE62" s="167">
        <v>0</v>
      </c>
      <c r="AF62" s="192">
        <v>0</v>
      </c>
    </row>
    <row r="63" spans="1:32" x14ac:dyDescent="0.2">
      <c r="B63" s="7" t="s">
        <v>21</v>
      </c>
      <c r="C63" s="8">
        <f>1+5+3</f>
        <v>9</v>
      </c>
      <c r="D63" s="9">
        <f>1+3+3</f>
        <v>7</v>
      </c>
      <c r="E63" s="8">
        <f>1+4+2</f>
        <v>7</v>
      </c>
      <c r="F63" s="9">
        <f>4+1</f>
        <v>5</v>
      </c>
      <c r="G63" s="8">
        <f>1+1+4+1</f>
        <v>7</v>
      </c>
      <c r="H63" s="9">
        <f>3+2</f>
        <v>5</v>
      </c>
      <c r="I63" s="9">
        <v>7</v>
      </c>
      <c r="J63" s="10">
        <v>11</v>
      </c>
      <c r="K63" s="11">
        <v>10</v>
      </c>
      <c r="L63" s="11">
        <f>12+1</f>
        <v>13</v>
      </c>
      <c r="M63" s="11">
        <v>16</v>
      </c>
      <c r="N63" s="12">
        <v>10</v>
      </c>
      <c r="O63" s="13">
        <v>8</v>
      </c>
      <c r="P63" s="104">
        <v>9</v>
      </c>
      <c r="Q63" s="77">
        <v>6</v>
      </c>
      <c r="R63" s="77">
        <f>6+3</f>
        <v>9</v>
      </c>
      <c r="S63" s="77">
        <v>6</v>
      </c>
      <c r="T63" s="168">
        <v>5</v>
      </c>
      <c r="U63" s="167">
        <v>10</v>
      </c>
      <c r="V63" s="167">
        <v>14</v>
      </c>
      <c r="W63" s="167">
        <v>19</v>
      </c>
      <c r="X63" s="176">
        <v>17</v>
      </c>
      <c r="Y63" s="167">
        <v>17</v>
      </c>
      <c r="Z63" s="167">
        <v>15</v>
      </c>
      <c r="AA63" s="167">
        <v>20</v>
      </c>
      <c r="AB63" s="167">
        <v>26</v>
      </c>
      <c r="AC63" s="176">
        <v>25</v>
      </c>
      <c r="AD63" s="167">
        <v>25</v>
      </c>
      <c r="AE63" s="167">
        <v>25</v>
      </c>
      <c r="AF63" s="192">
        <v>29</v>
      </c>
    </row>
    <row r="64" spans="1:32" x14ac:dyDescent="0.2">
      <c r="B64" s="181" t="s">
        <v>50</v>
      </c>
      <c r="C64" s="8"/>
      <c r="D64" s="9"/>
      <c r="E64" s="8"/>
      <c r="F64" s="9"/>
      <c r="G64" s="8"/>
      <c r="H64" s="9"/>
      <c r="I64" s="9"/>
      <c r="J64" s="10"/>
      <c r="K64" s="11"/>
      <c r="L64" s="11"/>
      <c r="M64" s="11"/>
      <c r="N64" s="12"/>
      <c r="O64" s="13"/>
      <c r="P64" s="104"/>
      <c r="Q64" s="77"/>
      <c r="R64" s="77"/>
      <c r="S64" s="162"/>
      <c r="T64" s="169"/>
      <c r="U64" s="167">
        <v>5</v>
      </c>
      <c r="V64" s="167">
        <v>4</v>
      </c>
      <c r="W64" s="167">
        <v>13</v>
      </c>
      <c r="X64" s="176">
        <v>14</v>
      </c>
      <c r="Y64" s="167">
        <v>11</v>
      </c>
      <c r="Z64" s="167">
        <v>11</v>
      </c>
      <c r="AA64" s="167">
        <v>12</v>
      </c>
      <c r="AB64" s="167">
        <v>14</v>
      </c>
      <c r="AC64" s="176">
        <v>18</v>
      </c>
      <c r="AD64" s="167">
        <v>20</v>
      </c>
      <c r="AE64" s="167">
        <v>17</v>
      </c>
      <c r="AF64" s="192">
        <v>16</v>
      </c>
    </row>
    <row r="65" spans="2:36" x14ac:dyDescent="0.2">
      <c r="B65" s="27" t="s">
        <v>41</v>
      </c>
      <c r="C65" s="26"/>
      <c r="D65" s="9"/>
      <c r="E65" s="8"/>
      <c r="F65" s="9"/>
      <c r="G65" s="8"/>
      <c r="H65" s="9"/>
      <c r="I65" s="9"/>
      <c r="J65" s="10">
        <v>0</v>
      </c>
      <c r="K65" s="11">
        <v>1</v>
      </c>
      <c r="L65" s="11">
        <v>0</v>
      </c>
      <c r="M65" s="11">
        <v>0</v>
      </c>
      <c r="N65" s="12">
        <v>0</v>
      </c>
      <c r="O65" s="13">
        <v>2</v>
      </c>
      <c r="P65" s="104">
        <v>2</v>
      </c>
      <c r="Q65" s="77">
        <v>5</v>
      </c>
      <c r="R65" s="77">
        <v>5</v>
      </c>
      <c r="S65" s="77">
        <v>4</v>
      </c>
      <c r="T65" s="168">
        <v>9</v>
      </c>
      <c r="U65" s="167">
        <v>14</v>
      </c>
      <c r="V65" s="167">
        <v>41</v>
      </c>
      <c r="W65" s="167">
        <v>19</v>
      </c>
      <c r="X65" s="176">
        <v>37</v>
      </c>
      <c r="Y65" s="167">
        <v>49</v>
      </c>
      <c r="Z65" s="167">
        <v>42</v>
      </c>
      <c r="AA65" s="167">
        <v>30</v>
      </c>
      <c r="AB65" s="167">
        <v>2</v>
      </c>
      <c r="AC65" s="176">
        <v>4</v>
      </c>
      <c r="AD65" s="167">
        <v>4</v>
      </c>
      <c r="AE65" s="167">
        <v>3</v>
      </c>
      <c r="AF65" s="192">
        <v>3</v>
      </c>
    </row>
    <row r="66" spans="2:36" ht="13.5" thickBot="1" x14ac:dyDescent="0.25">
      <c r="B66" s="7" t="s">
        <v>22</v>
      </c>
      <c r="C66" s="8">
        <f>46+36+142+127</f>
        <v>351</v>
      </c>
      <c r="D66" s="9">
        <f>46+38+134+127+3</f>
        <v>348</v>
      </c>
      <c r="E66" s="8">
        <f>46+43+135+119+1+3</f>
        <v>347</v>
      </c>
      <c r="F66" s="9">
        <f>135+49+44+113+3</f>
        <v>344</v>
      </c>
      <c r="G66" s="8">
        <f>43+49+137+118+1</f>
        <v>348</v>
      </c>
      <c r="H66" s="9">
        <f>132+128+41+54+2</f>
        <v>357</v>
      </c>
      <c r="I66" s="9">
        <v>362</v>
      </c>
      <c r="J66" s="10">
        <v>367</v>
      </c>
      <c r="K66" s="11">
        <v>379</v>
      </c>
      <c r="L66" s="11">
        <v>378</v>
      </c>
      <c r="M66" s="11">
        <f>379+1</f>
        <v>380</v>
      </c>
      <c r="N66" s="14">
        <v>388</v>
      </c>
      <c r="O66" s="15">
        <v>391</v>
      </c>
      <c r="P66" s="105">
        <v>416</v>
      </c>
      <c r="Q66" s="77">
        <v>417</v>
      </c>
      <c r="R66" s="77">
        <v>405</v>
      </c>
      <c r="S66" s="77">
        <v>412</v>
      </c>
      <c r="T66" s="168">
        <v>402</v>
      </c>
      <c r="U66" s="167">
        <v>392</v>
      </c>
      <c r="V66" s="167">
        <v>357</v>
      </c>
      <c r="W66" s="167">
        <v>387</v>
      </c>
      <c r="X66" s="176">
        <v>363</v>
      </c>
      <c r="Y66" s="167">
        <v>358</v>
      </c>
      <c r="Z66" s="167">
        <v>365</v>
      </c>
      <c r="AA66" s="167">
        <v>383</v>
      </c>
      <c r="AB66" s="167">
        <v>409</v>
      </c>
      <c r="AC66" s="176">
        <v>406</v>
      </c>
      <c r="AD66" s="167">
        <v>407</v>
      </c>
      <c r="AE66" s="167">
        <v>407</v>
      </c>
      <c r="AF66" s="196">
        <v>426</v>
      </c>
    </row>
    <row r="67" spans="2:36" ht="14.25" customHeight="1" thickTop="1" x14ac:dyDescent="0.2">
      <c r="B67" s="16" t="s">
        <v>25</v>
      </c>
      <c r="C67" s="17">
        <f t="shared" ref="C67:AA67" si="12">C47+C26+C5</f>
        <v>21137</v>
      </c>
      <c r="D67" s="18">
        <f t="shared" si="12"/>
        <v>20712</v>
      </c>
      <c r="E67" s="17">
        <f t="shared" si="12"/>
        <v>21224</v>
      </c>
      <c r="F67" s="18">
        <f t="shared" si="12"/>
        <v>20775</v>
      </c>
      <c r="G67" s="17">
        <f t="shared" si="12"/>
        <v>20664</v>
      </c>
      <c r="H67" s="18">
        <f t="shared" si="12"/>
        <v>20476</v>
      </c>
      <c r="I67" s="18">
        <f t="shared" si="12"/>
        <v>20325</v>
      </c>
      <c r="J67" s="19">
        <f t="shared" si="12"/>
        <v>20306</v>
      </c>
      <c r="K67" s="20">
        <f t="shared" si="12"/>
        <v>20885</v>
      </c>
      <c r="L67" s="20">
        <f t="shared" si="12"/>
        <v>21543</v>
      </c>
      <c r="M67" s="20">
        <f t="shared" si="12"/>
        <v>21929</v>
      </c>
      <c r="N67" s="20">
        <f t="shared" si="12"/>
        <v>22396</v>
      </c>
      <c r="O67" s="146">
        <f t="shared" si="12"/>
        <v>22762</v>
      </c>
      <c r="P67" s="127">
        <f t="shared" si="12"/>
        <v>23050</v>
      </c>
      <c r="Q67" s="130">
        <f t="shared" si="12"/>
        <v>23151</v>
      </c>
      <c r="R67" s="130">
        <f t="shared" si="12"/>
        <v>23182</v>
      </c>
      <c r="S67" s="130">
        <f t="shared" si="12"/>
        <v>23142</v>
      </c>
      <c r="T67" s="131">
        <f t="shared" si="12"/>
        <v>23331</v>
      </c>
      <c r="U67" s="130">
        <f t="shared" si="12"/>
        <v>23520</v>
      </c>
      <c r="V67" s="130">
        <f t="shared" si="12"/>
        <v>23581</v>
      </c>
      <c r="W67" s="130">
        <f t="shared" si="12"/>
        <v>23588</v>
      </c>
      <c r="X67" s="177">
        <f t="shared" si="12"/>
        <v>23863</v>
      </c>
      <c r="Y67" s="130">
        <f t="shared" si="12"/>
        <v>24378</v>
      </c>
      <c r="Z67" s="130">
        <f t="shared" si="12"/>
        <v>24581</v>
      </c>
      <c r="AA67" s="130">
        <f t="shared" si="12"/>
        <v>24766</v>
      </c>
      <c r="AB67" s="130">
        <v>20854</v>
      </c>
      <c r="AC67" s="177">
        <v>20229</v>
      </c>
      <c r="AD67" s="130">
        <v>19722</v>
      </c>
      <c r="AE67" s="130">
        <v>19745</v>
      </c>
      <c r="AF67" s="132">
        <f t="shared" ref="AF67:AF73" si="13">AF47+AF26+AF5</f>
        <v>20295</v>
      </c>
      <c r="AG67" s="183"/>
      <c r="AH67" s="183">
        <f t="shared" ref="AH67" si="14">AA68+AA69/3</f>
        <v>22082.666666666668</v>
      </c>
      <c r="AI67" s="183"/>
    </row>
    <row r="68" spans="2:36" x14ac:dyDescent="0.2">
      <c r="B68" s="181" t="s">
        <v>52</v>
      </c>
      <c r="C68" s="28">
        <f t="shared" ref="C68:S68" si="15">C48+C27+C6</f>
        <v>16811</v>
      </c>
      <c r="D68" s="29">
        <f t="shared" si="15"/>
        <v>16699</v>
      </c>
      <c r="E68" s="28">
        <f t="shared" si="15"/>
        <v>16943</v>
      </c>
      <c r="F68" s="29">
        <f t="shared" si="15"/>
        <v>16721</v>
      </c>
      <c r="G68" s="28">
        <f t="shared" si="15"/>
        <v>16531</v>
      </c>
      <c r="H68" s="29">
        <f t="shared" si="15"/>
        <v>16535</v>
      </c>
      <c r="I68" s="29">
        <f t="shared" si="15"/>
        <v>15898</v>
      </c>
      <c r="J68" s="30">
        <f t="shared" si="15"/>
        <v>16093</v>
      </c>
      <c r="K68" s="31">
        <f t="shared" si="15"/>
        <v>16223</v>
      </c>
      <c r="L68" s="31">
        <f t="shared" si="15"/>
        <v>17043</v>
      </c>
      <c r="M68" s="31">
        <f t="shared" si="15"/>
        <v>17507</v>
      </c>
      <c r="N68" s="31">
        <f t="shared" si="15"/>
        <v>17766</v>
      </c>
      <c r="O68" s="32">
        <f t="shared" si="15"/>
        <v>18168</v>
      </c>
      <c r="P68" s="33">
        <f t="shared" si="15"/>
        <v>18065</v>
      </c>
      <c r="Q68" s="133">
        <f t="shared" si="15"/>
        <v>18416</v>
      </c>
      <c r="R68" s="134">
        <f t="shared" si="15"/>
        <v>18167</v>
      </c>
      <c r="S68" s="135">
        <f t="shared" si="15"/>
        <v>18262</v>
      </c>
      <c r="T68" s="173">
        <v>18254</v>
      </c>
      <c r="U68" s="172">
        <v>18537</v>
      </c>
      <c r="V68" s="172">
        <v>18851</v>
      </c>
      <c r="W68" s="172">
        <v>19350</v>
      </c>
      <c r="X68" s="178">
        <v>19605</v>
      </c>
      <c r="Y68" s="172">
        <f t="shared" ref="Y68:AA73" si="16">Y6+Y27+Y48</f>
        <v>20275</v>
      </c>
      <c r="Z68" s="172">
        <f t="shared" si="16"/>
        <v>20549</v>
      </c>
      <c r="AA68" s="172">
        <f t="shared" si="16"/>
        <v>20741</v>
      </c>
      <c r="AB68" s="172">
        <v>17070</v>
      </c>
      <c r="AC68" s="178">
        <v>16490</v>
      </c>
      <c r="AD68" s="172">
        <v>15992</v>
      </c>
      <c r="AE68" s="172">
        <v>16098</v>
      </c>
      <c r="AF68" s="197">
        <f t="shared" si="13"/>
        <v>16521</v>
      </c>
      <c r="AJ68" s="119"/>
    </row>
    <row r="69" spans="2:36" x14ac:dyDescent="0.2">
      <c r="B69" s="7" t="s">
        <v>12</v>
      </c>
      <c r="C69" s="28">
        <f t="shared" ref="C69:S69" si="17">C49+C28+C7</f>
        <v>4326</v>
      </c>
      <c r="D69" s="29">
        <f t="shared" si="17"/>
        <v>4013</v>
      </c>
      <c r="E69" s="28">
        <f t="shared" si="17"/>
        <v>4281</v>
      </c>
      <c r="F69" s="29">
        <f t="shared" si="17"/>
        <v>4054</v>
      </c>
      <c r="G69" s="28">
        <f t="shared" si="17"/>
        <v>4133</v>
      </c>
      <c r="H69" s="29">
        <f t="shared" si="17"/>
        <v>3941</v>
      </c>
      <c r="I69" s="29">
        <f t="shared" si="17"/>
        <v>4427</v>
      </c>
      <c r="J69" s="30">
        <f t="shared" si="17"/>
        <v>4213</v>
      </c>
      <c r="K69" s="31">
        <f t="shared" si="17"/>
        <v>4662</v>
      </c>
      <c r="L69" s="31">
        <f t="shared" si="17"/>
        <v>4500</v>
      </c>
      <c r="M69" s="31">
        <f t="shared" si="17"/>
        <v>4422</v>
      </c>
      <c r="N69" s="31">
        <f t="shared" si="17"/>
        <v>4630</v>
      </c>
      <c r="O69" s="32">
        <f t="shared" si="17"/>
        <v>4594</v>
      </c>
      <c r="P69" s="33">
        <f t="shared" si="17"/>
        <v>4985</v>
      </c>
      <c r="Q69" s="133">
        <f t="shared" si="17"/>
        <v>4735</v>
      </c>
      <c r="R69" s="134">
        <f t="shared" si="17"/>
        <v>5015</v>
      </c>
      <c r="S69" s="135">
        <f t="shared" si="17"/>
        <v>4880</v>
      </c>
      <c r="T69" s="173">
        <v>5077</v>
      </c>
      <c r="U69" s="172">
        <v>4983</v>
      </c>
      <c r="V69" s="172">
        <v>4730</v>
      </c>
      <c r="W69" s="172">
        <v>4238</v>
      </c>
      <c r="X69" s="178">
        <v>4258</v>
      </c>
      <c r="Y69" s="172">
        <f t="shared" si="16"/>
        <v>4103</v>
      </c>
      <c r="Z69" s="172">
        <f t="shared" si="16"/>
        <v>4032</v>
      </c>
      <c r="AA69" s="172">
        <f t="shared" si="16"/>
        <v>4025</v>
      </c>
      <c r="AB69" s="172">
        <v>3784</v>
      </c>
      <c r="AC69" s="178">
        <v>3739</v>
      </c>
      <c r="AD69" s="172">
        <v>3730</v>
      </c>
      <c r="AE69" s="172">
        <v>3647</v>
      </c>
      <c r="AF69" s="197">
        <f t="shared" si="13"/>
        <v>3774</v>
      </c>
    </row>
    <row r="70" spans="2:36" x14ac:dyDescent="0.2">
      <c r="B70" s="7" t="s">
        <v>13</v>
      </c>
      <c r="C70" s="28">
        <f t="shared" ref="C70:S70" si="18">C50+C29+C8</f>
        <v>16961</v>
      </c>
      <c r="D70" s="29">
        <f t="shared" si="18"/>
        <v>16564</v>
      </c>
      <c r="E70" s="28">
        <f t="shared" si="18"/>
        <v>17226</v>
      </c>
      <c r="F70" s="29">
        <f t="shared" si="18"/>
        <v>16741</v>
      </c>
      <c r="G70" s="28">
        <f t="shared" si="18"/>
        <v>16735</v>
      </c>
      <c r="H70" s="29">
        <f t="shared" si="18"/>
        <v>16775</v>
      </c>
      <c r="I70" s="29">
        <f t="shared" si="18"/>
        <v>16939</v>
      </c>
      <c r="J70" s="30">
        <f t="shared" si="18"/>
        <v>16989</v>
      </c>
      <c r="K70" s="31">
        <f t="shared" si="18"/>
        <v>17494</v>
      </c>
      <c r="L70" s="31">
        <f t="shared" si="18"/>
        <v>18076</v>
      </c>
      <c r="M70" s="31">
        <f t="shared" si="18"/>
        <v>19084</v>
      </c>
      <c r="N70" s="31">
        <f t="shared" si="18"/>
        <v>18577</v>
      </c>
      <c r="O70" s="32">
        <f t="shared" si="18"/>
        <v>18942</v>
      </c>
      <c r="P70" s="33">
        <f t="shared" si="18"/>
        <v>18951</v>
      </c>
      <c r="Q70" s="133">
        <f t="shared" si="18"/>
        <v>18787</v>
      </c>
      <c r="R70" s="134">
        <f t="shared" si="18"/>
        <v>18737</v>
      </c>
      <c r="S70" s="135">
        <f t="shared" si="18"/>
        <v>18429</v>
      </c>
      <c r="T70" s="173">
        <v>18252</v>
      </c>
      <c r="U70" s="172">
        <v>17957</v>
      </c>
      <c r="V70" s="172">
        <v>17452</v>
      </c>
      <c r="W70" s="172">
        <v>17170</v>
      </c>
      <c r="X70" s="178">
        <v>17154</v>
      </c>
      <c r="Y70" s="172">
        <f t="shared" si="16"/>
        <v>17327</v>
      </c>
      <c r="Z70" s="172">
        <f t="shared" si="16"/>
        <v>17356</v>
      </c>
      <c r="AA70" s="172">
        <f t="shared" si="16"/>
        <v>17251</v>
      </c>
      <c r="AB70" s="172">
        <v>14287</v>
      </c>
      <c r="AC70" s="178">
        <v>13674</v>
      </c>
      <c r="AD70" s="172">
        <v>13165</v>
      </c>
      <c r="AE70" s="172">
        <v>13419</v>
      </c>
      <c r="AF70" s="197">
        <f t="shared" si="13"/>
        <v>13605</v>
      </c>
      <c r="AH70" s="75"/>
    </row>
    <row r="71" spans="2:36" x14ac:dyDescent="0.2">
      <c r="B71" s="7" t="s">
        <v>14</v>
      </c>
      <c r="C71" s="28">
        <f t="shared" ref="C71:S71" si="19">C51+C30+C9</f>
        <v>4176</v>
      </c>
      <c r="D71" s="29">
        <f t="shared" si="19"/>
        <v>4148</v>
      </c>
      <c r="E71" s="28">
        <f t="shared" si="19"/>
        <v>3998</v>
      </c>
      <c r="F71" s="29">
        <f t="shared" si="19"/>
        <v>4034</v>
      </c>
      <c r="G71" s="28">
        <f t="shared" si="19"/>
        <v>3929</v>
      </c>
      <c r="H71" s="29">
        <f t="shared" si="19"/>
        <v>3701</v>
      </c>
      <c r="I71" s="29">
        <f t="shared" si="19"/>
        <v>3386</v>
      </c>
      <c r="J71" s="30">
        <f t="shared" si="19"/>
        <v>3317</v>
      </c>
      <c r="K71" s="31">
        <f t="shared" si="19"/>
        <v>3391</v>
      </c>
      <c r="L71" s="31">
        <f t="shared" si="19"/>
        <v>3467</v>
      </c>
      <c r="M71" s="31">
        <f t="shared" si="19"/>
        <v>2839</v>
      </c>
      <c r="N71" s="31">
        <f t="shared" si="19"/>
        <v>3819</v>
      </c>
      <c r="O71" s="32">
        <f t="shared" si="19"/>
        <v>3820</v>
      </c>
      <c r="P71" s="33">
        <f t="shared" si="19"/>
        <v>4819</v>
      </c>
      <c r="Q71" s="133">
        <f t="shared" si="19"/>
        <v>4364</v>
      </c>
      <c r="R71" s="134">
        <f t="shared" si="19"/>
        <v>4445</v>
      </c>
      <c r="S71" s="135">
        <f t="shared" si="19"/>
        <v>4713</v>
      </c>
      <c r="T71" s="173">
        <v>5079</v>
      </c>
      <c r="U71" s="172">
        <v>5563</v>
      </c>
      <c r="V71" s="172">
        <v>6130</v>
      </c>
      <c r="W71" s="172">
        <v>6418</v>
      </c>
      <c r="X71" s="178">
        <v>6709</v>
      </c>
      <c r="Y71" s="172">
        <f t="shared" si="16"/>
        <v>7051</v>
      </c>
      <c r="Z71" s="172">
        <f t="shared" si="16"/>
        <v>7225</v>
      </c>
      <c r="AA71" s="172">
        <f t="shared" si="16"/>
        <v>7515</v>
      </c>
      <c r="AB71" s="172">
        <v>6567</v>
      </c>
      <c r="AC71" s="178">
        <v>6555</v>
      </c>
      <c r="AD71" s="172">
        <v>6557</v>
      </c>
      <c r="AE71" s="172">
        <v>6326</v>
      </c>
      <c r="AF71" s="197">
        <f t="shared" si="13"/>
        <v>6690</v>
      </c>
      <c r="AG71" s="184"/>
    </row>
    <row r="72" spans="2:36" x14ac:dyDescent="0.2">
      <c r="B72" s="7" t="s">
        <v>15</v>
      </c>
      <c r="C72" s="28">
        <f t="shared" ref="C72:Q72" si="20">C52+C31+C10</f>
        <v>11180</v>
      </c>
      <c r="D72" s="29">
        <f t="shared" si="20"/>
        <v>11077</v>
      </c>
      <c r="E72" s="28">
        <f t="shared" si="20"/>
        <v>11393</v>
      </c>
      <c r="F72" s="29">
        <f t="shared" si="20"/>
        <v>11090</v>
      </c>
      <c r="G72" s="28">
        <f t="shared" si="20"/>
        <v>11060</v>
      </c>
      <c r="H72" s="29">
        <f t="shared" si="20"/>
        <v>10929</v>
      </c>
      <c r="I72" s="29">
        <f t="shared" si="20"/>
        <v>10720</v>
      </c>
      <c r="J72" s="30">
        <f t="shared" si="20"/>
        <v>10667</v>
      </c>
      <c r="K72" s="31">
        <f t="shared" si="20"/>
        <v>10911</v>
      </c>
      <c r="L72" s="31">
        <f t="shared" si="20"/>
        <v>11175</v>
      </c>
      <c r="M72" s="31">
        <f t="shared" si="20"/>
        <v>11242</v>
      </c>
      <c r="N72" s="31">
        <f t="shared" si="20"/>
        <v>11451</v>
      </c>
      <c r="O72" s="32">
        <f t="shared" si="20"/>
        <v>11627</v>
      </c>
      <c r="P72" s="33">
        <f t="shared" si="20"/>
        <v>11607</v>
      </c>
      <c r="Q72" s="133">
        <f t="shared" si="20"/>
        <v>11559</v>
      </c>
      <c r="R72" s="134">
        <v>11350</v>
      </c>
      <c r="S72" s="135">
        <f>S52+S31+S10</f>
        <v>11425</v>
      </c>
      <c r="T72" s="173">
        <v>11567</v>
      </c>
      <c r="U72" s="172">
        <v>11606</v>
      </c>
      <c r="V72" s="172">
        <v>11746</v>
      </c>
      <c r="W72" s="172">
        <v>11925</v>
      </c>
      <c r="X72" s="178">
        <v>12100</v>
      </c>
      <c r="Y72" s="172">
        <f t="shared" si="16"/>
        <v>12410</v>
      </c>
      <c r="Z72" s="172">
        <f t="shared" si="16"/>
        <v>12459</v>
      </c>
      <c r="AA72" s="172">
        <f t="shared" si="16"/>
        <v>12550</v>
      </c>
      <c r="AB72" s="172">
        <v>10079</v>
      </c>
      <c r="AC72" s="178">
        <v>9647</v>
      </c>
      <c r="AD72" s="172">
        <v>9287</v>
      </c>
      <c r="AE72" s="172">
        <v>9262</v>
      </c>
      <c r="AF72" s="197">
        <f>AF52+AF31+AF10</f>
        <v>9390</v>
      </c>
    </row>
    <row r="73" spans="2:36" x14ac:dyDescent="0.2">
      <c r="B73" s="7" t="s">
        <v>16</v>
      </c>
      <c r="C73" s="28">
        <f t="shared" ref="C73:Q73" si="21">C53+C32+C11</f>
        <v>9957</v>
      </c>
      <c r="D73" s="29">
        <f t="shared" si="21"/>
        <v>9635</v>
      </c>
      <c r="E73" s="28">
        <f t="shared" si="21"/>
        <v>9831</v>
      </c>
      <c r="F73" s="29">
        <f t="shared" si="21"/>
        <v>9685</v>
      </c>
      <c r="G73" s="28">
        <f t="shared" si="21"/>
        <v>9604</v>
      </c>
      <c r="H73" s="29">
        <f t="shared" si="21"/>
        <v>9547</v>
      </c>
      <c r="I73" s="29">
        <f t="shared" si="21"/>
        <v>9605</v>
      </c>
      <c r="J73" s="30">
        <f t="shared" si="21"/>
        <v>9639</v>
      </c>
      <c r="K73" s="31">
        <f t="shared" si="21"/>
        <v>9974</v>
      </c>
      <c r="L73" s="31">
        <f t="shared" si="21"/>
        <v>10368</v>
      </c>
      <c r="M73" s="31">
        <f t="shared" si="21"/>
        <v>10687</v>
      </c>
      <c r="N73" s="31">
        <f t="shared" si="21"/>
        <v>10945</v>
      </c>
      <c r="O73" s="32">
        <f t="shared" si="21"/>
        <v>11135</v>
      </c>
      <c r="P73" s="33">
        <f t="shared" si="21"/>
        <v>11443</v>
      </c>
      <c r="Q73" s="133">
        <f t="shared" si="21"/>
        <v>11592</v>
      </c>
      <c r="R73" s="134">
        <v>11832</v>
      </c>
      <c r="S73" s="135">
        <f>S53+S32+S11</f>
        <v>11717</v>
      </c>
      <c r="T73" s="173">
        <v>11764</v>
      </c>
      <c r="U73" s="172">
        <v>11914</v>
      </c>
      <c r="V73" s="172">
        <v>11835</v>
      </c>
      <c r="W73" s="172">
        <v>11663</v>
      </c>
      <c r="X73" s="178">
        <v>11763</v>
      </c>
      <c r="Y73" s="172">
        <f t="shared" si="16"/>
        <v>11968</v>
      </c>
      <c r="Z73" s="172">
        <f t="shared" si="16"/>
        <v>12122</v>
      </c>
      <c r="AA73" s="172">
        <f t="shared" si="16"/>
        <v>12216</v>
      </c>
      <c r="AB73" s="172">
        <v>10775</v>
      </c>
      <c r="AC73" s="178">
        <v>10582</v>
      </c>
      <c r="AD73" s="172">
        <v>10435</v>
      </c>
      <c r="AE73" s="172">
        <v>10483</v>
      </c>
      <c r="AF73" s="197">
        <f t="shared" si="13"/>
        <v>10903</v>
      </c>
    </row>
    <row r="74" spans="2:36" x14ac:dyDescent="0.2">
      <c r="B74" s="181" t="s">
        <v>59</v>
      </c>
      <c r="C74" s="28"/>
      <c r="D74" s="29"/>
      <c r="E74" s="28"/>
      <c r="F74" s="29"/>
      <c r="G74" s="28"/>
      <c r="H74" s="29"/>
      <c r="I74" s="29"/>
      <c r="J74" s="30"/>
      <c r="K74" s="31"/>
      <c r="L74" s="30"/>
      <c r="M74" s="30"/>
      <c r="N74" s="31"/>
      <c r="O74" s="32"/>
      <c r="P74" s="33"/>
      <c r="Q74" s="133"/>
      <c r="R74" s="134"/>
      <c r="S74" s="135"/>
      <c r="T74" s="173"/>
      <c r="U74" s="172"/>
      <c r="V74" s="172"/>
      <c r="W74" s="172"/>
      <c r="X74" s="178"/>
      <c r="Y74" s="172"/>
      <c r="Z74" s="172"/>
      <c r="AA74" s="172"/>
      <c r="AB74" s="172">
        <v>0</v>
      </c>
      <c r="AC74" s="178">
        <v>0</v>
      </c>
      <c r="AD74" s="172">
        <v>0</v>
      </c>
      <c r="AE74" s="172">
        <v>0</v>
      </c>
      <c r="AF74" s="197">
        <f>AF33+AF12</f>
        <v>2</v>
      </c>
    </row>
    <row r="75" spans="2:36" x14ac:dyDescent="0.2">
      <c r="B75" s="27" t="s">
        <v>45</v>
      </c>
      <c r="C75" s="28"/>
      <c r="D75" s="29"/>
      <c r="E75" s="28"/>
      <c r="F75" s="29"/>
      <c r="G75" s="28"/>
      <c r="H75" s="29"/>
      <c r="I75" s="29"/>
      <c r="J75" s="32">
        <f t="shared" ref="J75:R75" si="22">J54+J34+J13</f>
        <v>5247</v>
      </c>
      <c r="K75" s="32">
        <f t="shared" si="22"/>
        <v>5969</v>
      </c>
      <c r="L75" s="33">
        <f t="shared" si="22"/>
        <v>6362</v>
      </c>
      <c r="M75" s="33">
        <f t="shared" si="22"/>
        <v>6374</v>
      </c>
      <c r="N75" s="31">
        <f t="shared" si="22"/>
        <v>6515</v>
      </c>
      <c r="O75" s="32">
        <f t="shared" si="22"/>
        <v>6448</v>
      </c>
      <c r="P75" s="33">
        <f t="shared" si="22"/>
        <v>6369</v>
      </c>
      <c r="Q75" s="133">
        <f t="shared" si="22"/>
        <v>6511</v>
      </c>
      <c r="R75" s="134">
        <f t="shared" si="22"/>
        <v>6287</v>
      </c>
      <c r="S75" s="135">
        <f t="shared" ref="S75:S82" si="23">S54+S34+S13</f>
        <v>6122</v>
      </c>
      <c r="T75" s="173">
        <v>6347</v>
      </c>
      <c r="U75" s="172">
        <v>5728</v>
      </c>
      <c r="V75" s="172">
        <v>6354</v>
      </c>
      <c r="W75" s="172">
        <v>6265</v>
      </c>
      <c r="X75" s="178">
        <v>6413</v>
      </c>
      <c r="Y75" s="172">
        <f t="shared" ref="Y75:AA87" si="24">Y13+Y34+Y54</f>
        <v>6739</v>
      </c>
      <c r="Z75" s="172">
        <f t="shared" si="24"/>
        <v>6848</v>
      </c>
      <c r="AA75" s="172">
        <f t="shared" si="24"/>
        <v>6921</v>
      </c>
      <c r="AB75" s="172">
        <v>5639</v>
      </c>
      <c r="AC75" s="178">
        <v>5349</v>
      </c>
      <c r="AD75" s="172">
        <v>5339</v>
      </c>
      <c r="AE75" s="172">
        <v>5714</v>
      </c>
      <c r="AF75" s="197">
        <f t="shared" ref="AF75:AF87" si="25">AF54+AF34+AF13</f>
        <v>6401</v>
      </c>
    </row>
    <row r="76" spans="2:36" x14ac:dyDescent="0.2">
      <c r="B76" s="27" t="s">
        <v>46</v>
      </c>
      <c r="C76" s="28"/>
      <c r="D76" s="29"/>
      <c r="E76" s="28"/>
      <c r="F76" s="29"/>
      <c r="G76" s="28"/>
      <c r="H76" s="29"/>
      <c r="I76" s="29"/>
      <c r="J76" s="32">
        <f t="shared" ref="J76:R76" si="26">J55+J35+J14</f>
        <v>10060</v>
      </c>
      <c r="K76" s="32">
        <f t="shared" si="26"/>
        <v>10497</v>
      </c>
      <c r="L76" s="33">
        <f t="shared" si="26"/>
        <v>10762</v>
      </c>
      <c r="M76" s="33">
        <f t="shared" si="26"/>
        <v>11213</v>
      </c>
      <c r="N76" s="31">
        <f t="shared" si="26"/>
        <v>11499</v>
      </c>
      <c r="O76" s="32">
        <f t="shared" si="26"/>
        <v>11959</v>
      </c>
      <c r="P76" s="33">
        <f t="shared" si="26"/>
        <v>12071</v>
      </c>
      <c r="Q76" s="133">
        <f t="shared" si="26"/>
        <v>11915</v>
      </c>
      <c r="R76" s="134">
        <f t="shared" si="26"/>
        <v>11849</v>
      </c>
      <c r="S76" s="135">
        <f t="shared" si="23"/>
        <v>11921</v>
      </c>
      <c r="T76" s="173">
        <v>11704</v>
      </c>
      <c r="U76" s="172">
        <v>12153</v>
      </c>
      <c r="V76" s="172">
        <v>11838</v>
      </c>
      <c r="W76" s="172">
        <v>12176</v>
      </c>
      <c r="X76" s="178">
        <v>12167</v>
      </c>
      <c r="Y76" s="172">
        <f t="shared" si="24"/>
        <v>12364</v>
      </c>
      <c r="Z76" s="172">
        <f t="shared" si="24"/>
        <v>12511</v>
      </c>
      <c r="AA76" s="172">
        <f t="shared" si="24"/>
        <v>12485</v>
      </c>
      <c r="AB76" s="172">
        <v>10467</v>
      </c>
      <c r="AC76" s="178">
        <v>10210</v>
      </c>
      <c r="AD76" s="172">
        <v>9748</v>
      </c>
      <c r="AE76" s="172">
        <v>9457</v>
      </c>
      <c r="AF76" s="197">
        <f t="shared" si="25"/>
        <v>9326</v>
      </c>
      <c r="AG76" s="75"/>
    </row>
    <row r="77" spans="2:36" x14ac:dyDescent="0.2">
      <c r="B77" s="27" t="s">
        <v>47</v>
      </c>
      <c r="C77" s="28"/>
      <c r="D77" s="29"/>
      <c r="E77" s="28"/>
      <c r="F77" s="29"/>
      <c r="G77" s="28"/>
      <c r="H77" s="29"/>
      <c r="I77" s="29"/>
      <c r="J77" s="32">
        <f t="shared" ref="J77:R77" si="27">J56+J36+J15</f>
        <v>3256</v>
      </c>
      <c r="K77" s="32">
        <f t="shared" si="27"/>
        <v>3408</v>
      </c>
      <c r="L77" s="33">
        <f t="shared" si="27"/>
        <v>3276</v>
      </c>
      <c r="M77" s="33">
        <f t="shared" si="27"/>
        <v>3231</v>
      </c>
      <c r="N77" s="31">
        <f t="shared" si="27"/>
        <v>3292</v>
      </c>
      <c r="O77" s="32">
        <f t="shared" si="27"/>
        <v>3285</v>
      </c>
      <c r="P77" s="33">
        <f t="shared" si="27"/>
        <v>3424</v>
      </c>
      <c r="Q77" s="133">
        <f t="shared" si="27"/>
        <v>3543</v>
      </c>
      <c r="R77" s="134">
        <f t="shared" si="27"/>
        <v>3669</v>
      </c>
      <c r="S77" s="135">
        <f t="shared" si="23"/>
        <v>3776</v>
      </c>
      <c r="T77" s="173">
        <v>3916</v>
      </c>
      <c r="U77" s="172">
        <v>4277</v>
      </c>
      <c r="V77" s="172">
        <v>4044</v>
      </c>
      <c r="W77" s="172">
        <v>4056</v>
      </c>
      <c r="X77" s="178">
        <v>4164</v>
      </c>
      <c r="Y77" s="172">
        <f t="shared" si="24"/>
        <v>4198</v>
      </c>
      <c r="Z77" s="172">
        <f t="shared" si="24"/>
        <v>4236</v>
      </c>
      <c r="AA77" s="172">
        <f t="shared" si="24"/>
        <v>4379</v>
      </c>
      <c r="AB77" s="172">
        <v>3731</v>
      </c>
      <c r="AC77" s="178">
        <v>3605</v>
      </c>
      <c r="AD77" s="172">
        <v>3534</v>
      </c>
      <c r="AE77" s="172">
        <v>3438</v>
      </c>
      <c r="AF77" s="197">
        <f t="shared" si="25"/>
        <v>3416</v>
      </c>
    </row>
    <row r="78" spans="2:36" x14ac:dyDescent="0.2">
      <c r="B78" s="27" t="s">
        <v>48</v>
      </c>
      <c r="C78" s="28"/>
      <c r="D78" s="29"/>
      <c r="E78" s="28"/>
      <c r="F78" s="29"/>
      <c r="G78" s="28"/>
      <c r="H78" s="29"/>
      <c r="I78" s="29"/>
      <c r="J78" s="32">
        <f t="shared" ref="J78:R78" si="28">J57+J37+J16</f>
        <v>1023</v>
      </c>
      <c r="K78" s="32">
        <f t="shared" si="28"/>
        <v>1010</v>
      </c>
      <c r="L78" s="33">
        <f t="shared" si="28"/>
        <v>1143</v>
      </c>
      <c r="M78" s="33">
        <f t="shared" si="28"/>
        <v>1109</v>
      </c>
      <c r="N78" s="31">
        <f t="shared" si="28"/>
        <v>1090</v>
      </c>
      <c r="O78" s="32">
        <f t="shared" si="28"/>
        <v>1070</v>
      </c>
      <c r="P78" s="33">
        <f t="shared" si="28"/>
        <v>1186</v>
      </c>
      <c r="Q78" s="133">
        <f t="shared" si="28"/>
        <v>1182</v>
      </c>
      <c r="R78" s="134">
        <f t="shared" si="28"/>
        <v>1377</v>
      </c>
      <c r="S78" s="135">
        <f t="shared" si="23"/>
        <v>1322</v>
      </c>
      <c r="T78" s="173">
        <v>1365</v>
      </c>
      <c r="U78" s="172">
        <v>1362</v>
      </c>
      <c r="V78" s="172">
        <v>1345</v>
      </c>
      <c r="W78" s="172">
        <v>1091</v>
      </c>
      <c r="X78" s="178">
        <v>1119</v>
      </c>
      <c r="Y78" s="172">
        <f t="shared" si="24"/>
        <v>1077</v>
      </c>
      <c r="Z78" s="172">
        <f t="shared" si="24"/>
        <v>986</v>
      </c>
      <c r="AA78" s="172">
        <f t="shared" si="24"/>
        <v>981</v>
      </c>
      <c r="AB78" s="172">
        <v>1017</v>
      </c>
      <c r="AC78" s="178">
        <v>1065</v>
      </c>
      <c r="AD78" s="172">
        <v>1101</v>
      </c>
      <c r="AE78" s="172">
        <v>1136</v>
      </c>
      <c r="AF78" s="197">
        <f t="shared" si="25"/>
        <v>1152</v>
      </c>
    </row>
    <row r="79" spans="2:36" x14ac:dyDescent="0.2">
      <c r="B79" s="7" t="s">
        <v>17</v>
      </c>
      <c r="C79" s="28">
        <f t="shared" ref="C79:I82" si="29">C58+C38+C17</f>
        <v>1107</v>
      </c>
      <c r="D79" s="29">
        <f t="shared" si="29"/>
        <v>1064</v>
      </c>
      <c r="E79" s="28">
        <f t="shared" si="29"/>
        <v>1146</v>
      </c>
      <c r="F79" s="29">
        <f t="shared" si="29"/>
        <v>1192</v>
      </c>
      <c r="G79" s="28">
        <f t="shared" si="29"/>
        <v>1076</v>
      </c>
      <c r="H79" s="29">
        <f t="shared" si="29"/>
        <v>1037</v>
      </c>
      <c r="I79" s="29">
        <f t="shared" si="29"/>
        <v>936</v>
      </c>
      <c r="J79" s="30">
        <f t="shared" ref="J79:R79" si="30">J58+J38+J17</f>
        <v>871</v>
      </c>
      <c r="K79" s="31">
        <f t="shared" si="30"/>
        <v>919</v>
      </c>
      <c r="L79" s="31">
        <f t="shared" si="30"/>
        <v>937</v>
      </c>
      <c r="M79" s="31">
        <f t="shared" si="30"/>
        <v>1004</v>
      </c>
      <c r="N79" s="31">
        <f t="shared" si="30"/>
        <v>1062</v>
      </c>
      <c r="O79" s="32">
        <f t="shared" si="30"/>
        <v>1104</v>
      </c>
      <c r="P79" s="33">
        <f t="shared" si="30"/>
        <v>1062</v>
      </c>
      <c r="Q79" s="133">
        <f t="shared" si="30"/>
        <v>1024</v>
      </c>
      <c r="R79" s="134">
        <f t="shared" si="30"/>
        <v>954</v>
      </c>
      <c r="S79" s="135">
        <f t="shared" si="23"/>
        <v>1047</v>
      </c>
      <c r="T79" s="173">
        <v>1220</v>
      </c>
      <c r="U79" s="172">
        <v>1431</v>
      </c>
      <c r="V79" s="172">
        <v>1705</v>
      </c>
      <c r="W79" s="172">
        <v>1812</v>
      </c>
      <c r="X79" s="178">
        <v>1857</v>
      </c>
      <c r="Y79" s="172">
        <f t="shared" si="24"/>
        <v>2045</v>
      </c>
      <c r="Z79" s="172">
        <f t="shared" si="24"/>
        <v>2106</v>
      </c>
      <c r="AA79" s="172">
        <f t="shared" si="24"/>
        <v>2247</v>
      </c>
      <c r="AB79" s="172">
        <v>1162</v>
      </c>
      <c r="AC79" s="178">
        <v>1085</v>
      </c>
      <c r="AD79" s="172">
        <v>995</v>
      </c>
      <c r="AE79" s="172">
        <v>971</v>
      </c>
      <c r="AF79" s="197">
        <f t="shared" si="25"/>
        <v>982</v>
      </c>
    </row>
    <row r="80" spans="2:36" x14ac:dyDescent="0.2">
      <c r="B80" s="7" t="s">
        <v>19</v>
      </c>
      <c r="C80" s="28">
        <f t="shared" si="29"/>
        <v>73</v>
      </c>
      <c r="D80" s="29">
        <f t="shared" si="29"/>
        <v>70</v>
      </c>
      <c r="E80" s="28">
        <f t="shared" si="29"/>
        <v>87</v>
      </c>
      <c r="F80" s="29">
        <f t="shared" si="29"/>
        <v>91</v>
      </c>
      <c r="G80" s="28">
        <f t="shared" si="29"/>
        <v>122</v>
      </c>
      <c r="H80" s="29">
        <f t="shared" si="29"/>
        <v>128</v>
      </c>
      <c r="I80" s="29">
        <f t="shared" si="29"/>
        <v>132</v>
      </c>
      <c r="J80" s="30">
        <f t="shared" ref="J80:R80" si="31">J59+J39+J18</f>
        <v>140</v>
      </c>
      <c r="K80" s="31">
        <f t="shared" si="31"/>
        <v>148</v>
      </c>
      <c r="L80" s="31">
        <f t="shared" si="31"/>
        <v>153</v>
      </c>
      <c r="M80" s="31">
        <f t="shared" si="31"/>
        <v>133</v>
      </c>
      <c r="N80" s="31">
        <f t="shared" si="31"/>
        <v>133</v>
      </c>
      <c r="O80" s="32">
        <f t="shared" si="31"/>
        <v>121</v>
      </c>
      <c r="P80" s="33">
        <f t="shared" si="31"/>
        <v>111</v>
      </c>
      <c r="Q80" s="133">
        <f t="shared" si="31"/>
        <v>115</v>
      </c>
      <c r="R80" s="134">
        <f t="shared" si="31"/>
        <v>126</v>
      </c>
      <c r="S80" s="135">
        <f t="shared" si="23"/>
        <v>138</v>
      </c>
      <c r="T80" s="173">
        <v>142</v>
      </c>
      <c r="U80" s="172">
        <v>167</v>
      </c>
      <c r="V80" s="172">
        <v>146</v>
      </c>
      <c r="W80" s="172">
        <v>113</v>
      </c>
      <c r="X80" s="178">
        <v>99</v>
      </c>
      <c r="Y80" s="172">
        <f t="shared" si="24"/>
        <v>95</v>
      </c>
      <c r="Z80" s="172">
        <f t="shared" si="24"/>
        <v>104</v>
      </c>
      <c r="AA80" s="172">
        <f t="shared" si="24"/>
        <v>94</v>
      </c>
      <c r="AB80" s="172">
        <v>92</v>
      </c>
      <c r="AC80" s="178">
        <v>77</v>
      </c>
      <c r="AD80" s="172">
        <v>94</v>
      </c>
      <c r="AE80" s="172">
        <v>85</v>
      </c>
      <c r="AF80" s="197">
        <f t="shared" si="25"/>
        <v>79</v>
      </c>
    </row>
    <row r="81" spans="1:32" x14ac:dyDescent="0.2">
      <c r="B81" s="27" t="s">
        <v>20</v>
      </c>
      <c r="C81" s="28">
        <f t="shared" si="29"/>
        <v>296</v>
      </c>
      <c r="D81" s="29">
        <f t="shared" si="29"/>
        <v>278</v>
      </c>
      <c r="E81" s="28">
        <f t="shared" si="29"/>
        <v>324</v>
      </c>
      <c r="F81" s="29">
        <f t="shared" si="29"/>
        <v>334</v>
      </c>
      <c r="G81" s="28">
        <f t="shared" si="29"/>
        <v>349</v>
      </c>
      <c r="H81" s="29">
        <f t="shared" si="29"/>
        <v>338</v>
      </c>
      <c r="I81" s="29">
        <f t="shared" si="29"/>
        <v>324</v>
      </c>
      <c r="J81" s="30">
        <f t="shared" ref="J81:R81" si="32">J60+J40+J19</f>
        <v>307</v>
      </c>
      <c r="K81" s="31">
        <f t="shared" si="32"/>
        <v>285</v>
      </c>
      <c r="L81" s="31">
        <f t="shared" si="32"/>
        <v>301</v>
      </c>
      <c r="M81" s="31">
        <f t="shared" si="32"/>
        <v>284</v>
      </c>
      <c r="N81" s="31">
        <f t="shared" si="32"/>
        <v>303</v>
      </c>
      <c r="O81" s="32">
        <f t="shared" si="32"/>
        <v>288</v>
      </c>
      <c r="P81" s="33">
        <f t="shared" si="32"/>
        <v>318</v>
      </c>
      <c r="Q81" s="133">
        <f t="shared" si="32"/>
        <v>308</v>
      </c>
      <c r="R81" s="134">
        <f t="shared" si="32"/>
        <v>312</v>
      </c>
      <c r="S81" s="135">
        <f t="shared" si="23"/>
        <v>331</v>
      </c>
      <c r="T81" s="173">
        <v>338</v>
      </c>
      <c r="U81" s="172">
        <v>327</v>
      </c>
      <c r="V81" s="172">
        <v>329</v>
      </c>
      <c r="W81" s="172">
        <v>320</v>
      </c>
      <c r="X81" s="178">
        <v>364</v>
      </c>
      <c r="Y81" s="172">
        <f t="shared" si="24"/>
        <v>352</v>
      </c>
      <c r="Z81" s="172">
        <f t="shared" si="24"/>
        <v>364</v>
      </c>
      <c r="AA81" s="172">
        <f t="shared" si="24"/>
        <v>381</v>
      </c>
      <c r="AB81" s="172">
        <v>397</v>
      </c>
      <c r="AC81" s="178">
        <v>388</v>
      </c>
      <c r="AD81" s="172">
        <v>402</v>
      </c>
      <c r="AE81" s="172">
        <v>419</v>
      </c>
      <c r="AF81" s="197">
        <f t="shared" si="25"/>
        <v>455</v>
      </c>
    </row>
    <row r="82" spans="1:32" x14ac:dyDescent="0.2">
      <c r="B82" s="7" t="s">
        <v>18</v>
      </c>
      <c r="C82" s="28">
        <f t="shared" si="29"/>
        <v>704</v>
      </c>
      <c r="D82" s="29">
        <f t="shared" si="29"/>
        <v>699</v>
      </c>
      <c r="E82" s="28">
        <f t="shared" si="29"/>
        <v>763</v>
      </c>
      <c r="F82" s="29">
        <f t="shared" si="29"/>
        <v>709</v>
      </c>
      <c r="G82" s="28">
        <f t="shared" si="29"/>
        <v>713</v>
      </c>
      <c r="H82" s="29">
        <f t="shared" si="29"/>
        <v>706</v>
      </c>
      <c r="I82" s="29">
        <f t="shared" si="29"/>
        <v>680</v>
      </c>
      <c r="J82" s="30">
        <f t="shared" ref="J82:R82" si="33">J61+J41+J20</f>
        <v>637</v>
      </c>
      <c r="K82" s="31">
        <f t="shared" si="33"/>
        <v>612</v>
      </c>
      <c r="L82" s="31">
        <f t="shared" si="33"/>
        <v>610</v>
      </c>
      <c r="M82" s="31">
        <f t="shared" si="33"/>
        <v>622</v>
      </c>
      <c r="N82" s="31">
        <f t="shared" si="33"/>
        <v>630</v>
      </c>
      <c r="O82" s="32">
        <f t="shared" si="33"/>
        <v>654</v>
      </c>
      <c r="P82" s="33">
        <f t="shared" si="33"/>
        <v>653</v>
      </c>
      <c r="Q82" s="133">
        <f t="shared" si="33"/>
        <v>645</v>
      </c>
      <c r="R82" s="134">
        <f t="shared" si="33"/>
        <v>726</v>
      </c>
      <c r="S82" s="135">
        <f t="shared" si="23"/>
        <v>760</v>
      </c>
      <c r="T82" s="173">
        <v>818</v>
      </c>
      <c r="U82" s="172">
        <v>838</v>
      </c>
      <c r="V82" s="172">
        <v>889</v>
      </c>
      <c r="W82" s="172">
        <v>993</v>
      </c>
      <c r="X82" s="178">
        <v>990</v>
      </c>
      <c r="Y82" s="172">
        <f t="shared" si="24"/>
        <v>1019</v>
      </c>
      <c r="Z82" s="172">
        <f t="shared" si="24"/>
        <v>967</v>
      </c>
      <c r="AA82" s="172">
        <f t="shared" si="24"/>
        <v>954</v>
      </c>
      <c r="AB82" s="172">
        <v>648</v>
      </c>
      <c r="AC82" s="178">
        <v>630</v>
      </c>
      <c r="AD82" s="172">
        <v>593</v>
      </c>
      <c r="AE82" s="172">
        <v>580</v>
      </c>
      <c r="AF82" s="197">
        <f t="shared" si="25"/>
        <v>635</v>
      </c>
    </row>
    <row r="83" spans="1:32" x14ac:dyDescent="0.2">
      <c r="B83" s="27" t="s">
        <v>49</v>
      </c>
      <c r="C83" s="28"/>
      <c r="D83" s="29"/>
      <c r="E83" s="28"/>
      <c r="F83" s="29"/>
      <c r="G83" s="28"/>
      <c r="H83" s="29"/>
      <c r="I83" s="29"/>
      <c r="J83" s="30"/>
      <c r="K83" s="31"/>
      <c r="L83" s="31"/>
      <c r="M83" s="31"/>
      <c r="N83" s="31"/>
      <c r="O83" s="32"/>
      <c r="P83" s="33"/>
      <c r="Q83" s="133"/>
      <c r="R83" s="134"/>
      <c r="S83" s="135"/>
      <c r="T83" s="174"/>
      <c r="U83" s="172">
        <v>26</v>
      </c>
      <c r="V83" s="172">
        <v>34</v>
      </c>
      <c r="W83" s="172">
        <v>35</v>
      </c>
      <c r="X83" s="178">
        <v>38</v>
      </c>
      <c r="Y83" s="172">
        <f t="shared" si="24"/>
        <v>30</v>
      </c>
      <c r="Z83" s="172">
        <f t="shared" si="24"/>
        <v>32</v>
      </c>
      <c r="AA83" s="172">
        <f t="shared" si="24"/>
        <v>36</v>
      </c>
      <c r="AB83" s="172">
        <v>20</v>
      </c>
      <c r="AC83" s="178">
        <v>21</v>
      </c>
      <c r="AD83" s="172">
        <v>18</v>
      </c>
      <c r="AE83" s="172">
        <v>17</v>
      </c>
      <c r="AF83" s="197">
        <f t="shared" si="25"/>
        <v>23</v>
      </c>
    </row>
    <row r="84" spans="1:32" x14ac:dyDescent="0.2">
      <c r="B84" s="7" t="s">
        <v>21</v>
      </c>
      <c r="C84" s="28"/>
      <c r="D84" s="29">
        <f t="shared" ref="D84:S84" si="34">D63+D43+D22</f>
        <v>376</v>
      </c>
      <c r="E84" s="28">
        <f t="shared" si="34"/>
        <v>406</v>
      </c>
      <c r="F84" s="29">
        <f t="shared" si="34"/>
        <v>426</v>
      </c>
      <c r="G84" s="28">
        <f t="shared" si="34"/>
        <v>445</v>
      </c>
      <c r="H84" s="29">
        <f t="shared" si="34"/>
        <v>454</v>
      </c>
      <c r="I84" s="29">
        <f t="shared" si="34"/>
        <v>447</v>
      </c>
      <c r="J84" s="30">
        <f t="shared" si="34"/>
        <v>452</v>
      </c>
      <c r="K84" s="31">
        <f t="shared" si="34"/>
        <v>475</v>
      </c>
      <c r="L84" s="31">
        <f t="shared" si="34"/>
        <v>487</v>
      </c>
      <c r="M84" s="31">
        <f t="shared" si="34"/>
        <v>538</v>
      </c>
      <c r="N84" s="31">
        <f t="shared" si="34"/>
        <v>533</v>
      </c>
      <c r="O84" s="32">
        <f t="shared" si="34"/>
        <v>535</v>
      </c>
      <c r="P84" s="33">
        <f t="shared" si="34"/>
        <v>505</v>
      </c>
      <c r="Q84" s="133">
        <f t="shared" si="34"/>
        <v>532</v>
      </c>
      <c r="R84" s="134">
        <f t="shared" si="34"/>
        <v>595</v>
      </c>
      <c r="S84" s="135">
        <f t="shared" si="34"/>
        <v>641</v>
      </c>
      <c r="T84" s="173">
        <v>675</v>
      </c>
      <c r="U84" s="172">
        <v>756</v>
      </c>
      <c r="V84" s="172">
        <v>829</v>
      </c>
      <c r="W84" s="172">
        <v>1077</v>
      </c>
      <c r="X84" s="178">
        <v>1191</v>
      </c>
      <c r="Y84" s="172">
        <f t="shared" si="24"/>
        <v>1290</v>
      </c>
      <c r="Z84" s="172">
        <f t="shared" si="24"/>
        <v>1341</v>
      </c>
      <c r="AA84" s="172">
        <f t="shared" si="24"/>
        <v>1419</v>
      </c>
      <c r="AB84" s="172">
        <v>1538</v>
      </c>
      <c r="AC84" s="178">
        <v>1582</v>
      </c>
      <c r="AD84" s="172">
        <v>1612</v>
      </c>
      <c r="AE84" s="172">
        <v>1714</v>
      </c>
      <c r="AF84" s="197">
        <f t="shared" si="25"/>
        <v>1862</v>
      </c>
    </row>
    <row r="85" spans="1:32" x14ac:dyDescent="0.2">
      <c r="B85" s="181" t="s">
        <v>50</v>
      </c>
      <c r="C85" s="28"/>
      <c r="D85" s="29"/>
      <c r="E85" s="28"/>
      <c r="F85" s="29"/>
      <c r="G85" s="28"/>
      <c r="H85" s="29"/>
      <c r="I85" s="29"/>
      <c r="J85" s="30"/>
      <c r="K85" s="31"/>
      <c r="L85" s="31"/>
      <c r="M85" s="31"/>
      <c r="N85" s="31"/>
      <c r="O85" s="32"/>
      <c r="P85" s="33"/>
      <c r="Q85" s="133"/>
      <c r="R85" s="134"/>
      <c r="S85" s="163"/>
      <c r="T85" s="174"/>
      <c r="U85" s="172">
        <v>164</v>
      </c>
      <c r="V85" s="172">
        <v>261</v>
      </c>
      <c r="W85" s="172">
        <v>408</v>
      </c>
      <c r="X85" s="178">
        <v>536</v>
      </c>
      <c r="Y85" s="172">
        <f t="shared" si="24"/>
        <v>593</v>
      </c>
      <c r="Z85" s="172">
        <f t="shared" si="24"/>
        <v>650</v>
      </c>
      <c r="AA85" s="172">
        <f t="shared" si="24"/>
        <v>695</v>
      </c>
      <c r="AB85" s="172">
        <v>741</v>
      </c>
      <c r="AC85" s="178">
        <v>727</v>
      </c>
      <c r="AD85" s="172">
        <v>688</v>
      </c>
      <c r="AE85" s="172">
        <v>690</v>
      </c>
      <c r="AF85" s="197">
        <f t="shared" si="25"/>
        <v>737</v>
      </c>
    </row>
    <row r="86" spans="1:32" x14ac:dyDescent="0.2">
      <c r="B86" s="27" t="s">
        <v>41</v>
      </c>
      <c r="C86" s="28">
        <f t="shared" ref="C86:S86" si="35">C65+C45+C24</f>
        <v>0</v>
      </c>
      <c r="D86" s="29">
        <f t="shared" si="35"/>
        <v>0</v>
      </c>
      <c r="E86" s="28">
        <f t="shared" si="35"/>
        <v>0</v>
      </c>
      <c r="F86" s="29">
        <f t="shared" si="35"/>
        <v>0</v>
      </c>
      <c r="G86" s="28">
        <f t="shared" si="35"/>
        <v>0</v>
      </c>
      <c r="H86" s="29">
        <f t="shared" si="35"/>
        <v>0</v>
      </c>
      <c r="I86" s="29">
        <f t="shared" si="35"/>
        <v>0</v>
      </c>
      <c r="J86" s="30">
        <f t="shared" si="35"/>
        <v>94</v>
      </c>
      <c r="K86" s="31">
        <f t="shared" si="35"/>
        <v>228</v>
      </c>
      <c r="L86" s="31">
        <f t="shared" si="35"/>
        <v>356</v>
      </c>
      <c r="M86" s="31">
        <f t="shared" si="35"/>
        <v>467</v>
      </c>
      <c r="N86" s="31">
        <f t="shared" si="35"/>
        <v>561</v>
      </c>
      <c r="O86" s="32">
        <f t="shared" si="35"/>
        <v>614</v>
      </c>
      <c r="P86" s="33">
        <f t="shared" si="35"/>
        <v>707</v>
      </c>
      <c r="Q86" s="133">
        <f t="shared" si="35"/>
        <v>760</v>
      </c>
      <c r="R86" s="134">
        <f t="shared" si="35"/>
        <v>789</v>
      </c>
      <c r="S86" s="135">
        <f t="shared" si="35"/>
        <v>824</v>
      </c>
      <c r="T86" s="173">
        <v>842</v>
      </c>
      <c r="U86" s="172">
        <v>691</v>
      </c>
      <c r="V86" s="172">
        <v>934</v>
      </c>
      <c r="W86" s="172">
        <v>143</v>
      </c>
      <c r="X86" s="178">
        <v>368</v>
      </c>
      <c r="Y86" s="172">
        <f t="shared" si="24"/>
        <v>501</v>
      </c>
      <c r="Z86" s="172">
        <f t="shared" si="24"/>
        <v>420</v>
      </c>
      <c r="AA86" s="172">
        <f t="shared" si="24"/>
        <v>391</v>
      </c>
      <c r="AB86" s="172">
        <v>249</v>
      </c>
      <c r="AC86" s="178">
        <v>246</v>
      </c>
      <c r="AD86" s="172">
        <v>224</v>
      </c>
      <c r="AE86" s="172">
        <v>217</v>
      </c>
      <c r="AF86" s="197">
        <f t="shared" si="25"/>
        <v>185</v>
      </c>
    </row>
    <row r="87" spans="1:32" ht="14.25" customHeight="1" thickBot="1" x14ac:dyDescent="0.25">
      <c r="B87" s="34" t="s">
        <v>22</v>
      </c>
      <c r="C87" s="118">
        <f t="shared" ref="C87:S87" si="36">C66+C46+C25</f>
        <v>18586</v>
      </c>
      <c r="D87" s="35">
        <f t="shared" si="36"/>
        <v>18225</v>
      </c>
      <c r="E87" s="118">
        <f t="shared" si="36"/>
        <v>18498</v>
      </c>
      <c r="F87" s="35">
        <f t="shared" si="36"/>
        <v>18023</v>
      </c>
      <c r="G87" s="118">
        <f t="shared" si="36"/>
        <v>17959</v>
      </c>
      <c r="H87" s="35">
        <f t="shared" si="36"/>
        <v>17813</v>
      </c>
      <c r="I87" s="35">
        <f t="shared" si="36"/>
        <v>17806</v>
      </c>
      <c r="J87" s="36">
        <f t="shared" si="36"/>
        <v>17805</v>
      </c>
      <c r="K87" s="37">
        <f t="shared" si="36"/>
        <v>18218</v>
      </c>
      <c r="L87" s="37">
        <f t="shared" si="36"/>
        <v>18699</v>
      </c>
      <c r="M87" s="37">
        <f t="shared" si="36"/>
        <v>18881</v>
      </c>
      <c r="N87" s="37">
        <f t="shared" si="36"/>
        <v>19174</v>
      </c>
      <c r="O87" s="38">
        <f t="shared" si="36"/>
        <v>19446</v>
      </c>
      <c r="P87" s="106">
        <f t="shared" si="36"/>
        <v>19694</v>
      </c>
      <c r="Q87" s="136">
        <f t="shared" si="36"/>
        <v>19767</v>
      </c>
      <c r="R87" s="137">
        <f t="shared" si="36"/>
        <v>19680</v>
      </c>
      <c r="S87" s="138">
        <f t="shared" si="36"/>
        <v>19401</v>
      </c>
      <c r="T87" s="171">
        <v>19296</v>
      </c>
      <c r="U87" s="170">
        <v>19120</v>
      </c>
      <c r="V87" s="170">
        <v>18454</v>
      </c>
      <c r="W87" s="170">
        <v>18687</v>
      </c>
      <c r="X87" s="179">
        <v>18420</v>
      </c>
      <c r="Y87" s="170">
        <f t="shared" si="24"/>
        <v>18453</v>
      </c>
      <c r="Z87" s="170">
        <f t="shared" si="24"/>
        <v>18597</v>
      </c>
      <c r="AA87" s="170">
        <f t="shared" si="24"/>
        <v>18549</v>
      </c>
      <c r="AB87" s="170">
        <v>16007</v>
      </c>
      <c r="AC87" s="179">
        <v>15473</v>
      </c>
      <c r="AD87" s="170">
        <v>15096</v>
      </c>
      <c r="AE87" s="170">
        <v>15052</v>
      </c>
      <c r="AF87" s="214">
        <f t="shared" si="25"/>
        <v>15337</v>
      </c>
    </row>
    <row r="88" spans="1:32" ht="18.75" hidden="1" customHeight="1" thickTop="1" x14ac:dyDescent="0.2">
      <c r="A88" s="39" t="s">
        <v>1</v>
      </c>
      <c r="B88" s="220" t="s">
        <v>2</v>
      </c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2"/>
      <c r="X88" s="180"/>
    </row>
    <row r="89" spans="1:32" ht="166.5" hidden="1" thickTop="1" x14ac:dyDescent="0.2">
      <c r="A89" s="40" t="s">
        <v>3</v>
      </c>
      <c r="B89" s="41"/>
      <c r="C89" s="41"/>
      <c r="D89" s="41"/>
      <c r="E89" s="41"/>
      <c r="F89" s="41"/>
      <c r="G89" s="41"/>
      <c r="H89" s="41"/>
      <c r="I89" s="42">
        <v>1997</v>
      </c>
      <c r="J89" s="42">
        <v>1998</v>
      </c>
      <c r="K89" s="42">
        <v>1999</v>
      </c>
      <c r="L89" s="42">
        <v>2000</v>
      </c>
      <c r="M89" s="42">
        <v>2001</v>
      </c>
      <c r="N89" s="42">
        <v>2002</v>
      </c>
      <c r="O89" s="43">
        <v>2003</v>
      </c>
      <c r="X89" s="180"/>
    </row>
    <row r="90" spans="1:32" ht="206.25" hidden="1" thickTop="1" x14ac:dyDescent="0.2">
      <c r="A90" s="44" t="s">
        <v>26</v>
      </c>
      <c r="B90" s="41"/>
      <c r="C90" s="41"/>
      <c r="D90" s="41"/>
      <c r="E90" s="41"/>
      <c r="F90" s="41"/>
      <c r="G90" s="41"/>
      <c r="H90" s="41"/>
      <c r="I90" s="45">
        <v>3085</v>
      </c>
      <c r="J90" s="45">
        <v>3338</v>
      </c>
      <c r="K90" s="45">
        <v>3504</v>
      </c>
      <c r="L90" s="46">
        <v>3588</v>
      </c>
      <c r="M90" s="46">
        <f>1586+1559+163+254</f>
        <v>3562</v>
      </c>
      <c r="N90" s="46">
        <f>1599+1554+171+213</f>
        <v>3537</v>
      </c>
      <c r="O90" s="47">
        <f>O91+O92</f>
        <v>3439</v>
      </c>
      <c r="X90" s="180"/>
    </row>
    <row r="91" spans="1:32" ht="102.75" hidden="1" thickTop="1" x14ac:dyDescent="0.2">
      <c r="A91" s="48" t="s">
        <v>11</v>
      </c>
      <c r="B91" s="41"/>
      <c r="C91" s="41"/>
      <c r="D91" s="41"/>
      <c r="E91" s="41"/>
      <c r="F91" s="41"/>
      <c r="G91" s="41"/>
      <c r="H91" s="41"/>
      <c r="I91" s="49">
        <v>2699</v>
      </c>
      <c r="J91" s="49">
        <v>2759</v>
      </c>
      <c r="K91" s="49">
        <v>3066</v>
      </c>
      <c r="L91" s="50">
        <v>3203</v>
      </c>
      <c r="M91" s="50">
        <f>1586+1559</f>
        <v>3145</v>
      </c>
      <c r="N91" s="50">
        <f>1599+1554</f>
        <v>3153</v>
      </c>
      <c r="O91" s="51">
        <v>3098</v>
      </c>
      <c r="X91" s="180"/>
    </row>
    <row r="92" spans="1:32" ht="102.75" hidden="1" thickTop="1" x14ac:dyDescent="0.2">
      <c r="A92" s="48" t="s">
        <v>12</v>
      </c>
      <c r="B92" s="41"/>
      <c r="C92" s="41"/>
      <c r="D92" s="41"/>
      <c r="E92" s="41"/>
      <c r="F92" s="41"/>
      <c r="G92" s="41"/>
      <c r="H92" s="41"/>
      <c r="I92" s="49">
        <v>386</v>
      </c>
      <c r="J92" s="49">
        <v>579</v>
      </c>
      <c r="K92" s="49">
        <v>438</v>
      </c>
      <c r="L92" s="50">
        <v>385</v>
      </c>
      <c r="M92" s="50">
        <f>163+254</f>
        <v>417</v>
      </c>
      <c r="N92" s="50">
        <f>171+213</f>
        <v>384</v>
      </c>
      <c r="O92" s="51">
        <v>341</v>
      </c>
      <c r="X92" s="180"/>
    </row>
    <row r="93" spans="1:32" ht="39" hidden="1" thickTop="1" x14ac:dyDescent="0.2">
      <c r="A93" s="48" t="s">
        <v>15</v>
      </c>
      <c r="B93" s="41"/>
      <c r="C93" s="41"/>
      <c r="D93" s="41"/>
      <c r="E93" s="41"/>
      <c r="F93" s="41"/>
      <c r="G93" s="41"/>
      <c r="H93" s="41"/>
      <c r="I93" s="49">
        <v>1610</v>
      </c>
      <c r="J93" s="49">
        <v>1755</v>
      </c>
      <c r="K93" s="49">
        <v>1824</v>
      </c>
      <c r="L93" s="50">
        <v>1785</v>
      </c>
      <c r="M93" s="50">
        <f>1586+163</f>
        <v>1749</v>
      </c>
      <c r="N93" s="50">
        <f>1599+171</f>
        <v>1770</v>
      </c>
      <c r="O93" s="51">
        <v>1708</v>
      </c>
      <c r="X93" s="180"/>
    </row>
    <row r="94" spans="1:32" ht="64.5" hidden="1" thickTop="1" x14ac:dyDescent="0.2">
      <c r="A94" s="48" t="s">
        <v>16</v>
      </c>
      <c r="B94" s="41"/>
      <c r="C94" s="41"/>
      <c r="D94" s="41"/>
      <c r="E94" s="41"/>
      <c r="F94" s="41"/>
      <c r="G94" s="41"/>
      <c r="H94" s="41"/>
      <c r="I94" s="49">
        <v>1475</v>
      </c>
      <c r="J94" s="49">
        <v>1583</v>
      </c>
      <c r="K94" s="49">
        <v>1680</v>
      </c>
      <c r="L94" s="50">
        <v>1803</v>
      </c>
      <c r="M94" s="50">
        <f>1559+254</f>
        <v>1813</v>
      </c>
      <c r="N94" s="50">
        <f>1554+213</f>
        <v>1767</v>
      </c>
      <c r="O94" s="51">
        <v>1731</v>
      </c>
      <c r="X94" s="180"/>
    </row>
    <row r="95" spans="1:32" ht="166.5" hidden="1" thickTop="1" x14ac:dyDescent="0.2">
      <c r="A95" s="48" t="s">
        <v>17</v>
      </c>
      <c r="B95" s="41"/>
      <c r="C95" s="41"/>
      <c r="D95" s="41"/>
      <c r="E95" s="41"/>
      <c r="F95" s="41"/>
      <c r="G95" s="41"/>
      <c r="H95" s="41"/>
      <c r="I95" s="49">
        <v>12</v>
      </c>
      <c r="J95" s="49">
        <v>11</v>
      </c>
      <c r="K95" s="49">
        <v>24</v>
      </c>
      <c r="L95" s="50">
        <v>24</v>
      </c>
      <c r="M95" s="50">
        <f>9+6</f>
        <v>15</v>
      </c>
      <c r="N95" s="50">
        <f>10+7+3+7</f>
        <v>27</v>
      </c>
      <c r="O95" s="51">
        <v>18</v>
      </c>
      <c r="X95" s="180"/>
    </row>
    <row r="96" spans="1:32" ht="64.5" hidden="1" thickTop="1" x14ac:dyDescent="0.2">
      <c r="A96" s="48" t="s">
        <v>18</v>
      </c>
      <c r="B96" s="41"/>
      <c r="C96" s="41"/>
      <c r="D96" s="41"/>
      <c r="E96" s="41"/>
      <c r="F96" s="41"/>
      <c r="G96" s="41"/>
      <c r="H96" s="41"/>
      <c r="I96" s="49">
        <v>89</v>
      </c>
      <c r="J96" s="49">
        <v>106</v>
      </c>
      <c r="K96" s="49">
        <v>106</v>
      </c>
      <c r="L96" s="50">
        <v>108</v>
      </c>
      <c r="M96" s="50">
        <f>57+30+12+21</f>
        <v>120</v>
      </c>
      <c r="N96" s="50">
        <f>39+26+18+21</f>
        <v>104</v>
      </c>
      <c r="O96" s="51">
        <v>104</v>
      </c>
      <c r="X96" s="180"/>
    </row>
    <row r="97" spans="1:31" ht="179.25" hidden="1" thickTop="1" x14ac:dyDescent="0.2">
      <c r="A97" s="48" t="s">
        <v>19</v>
      </c>
      <c r="B97" s="41"/>
      <c r="C97" s="41"/>
      <c r="D97" s="41"/>
      <c r="E97" s="41"/>
      <c r="F97" s="41"/>
      <c r="G97" s="41"/>
      <c r="H97" s="41"/>
      <c r="I97" s="49">
        <v>24</v>
      </c>
      <c r="J97" s="49">
        <v>21</v>
      </c>
      <c r="K97" s="49">
        <v>22</v>
      </c>
      <c r="L97" s="50">
        <v>11</v>
      </c>
      <c r="M97" s="50">
        <f>4+11+2</f>
        <v>17</v>
      </c>
      <c r="N97" s="50">
        <f>8+9+1+1</f>
        <v>19</v>
      </c>
      <c r="O97" s="51">
        <v>15</v>
      </c>
      <c r="X97" s="180"/>
    </row>
    <row r="98" spans="1:31" ht="64.5" hidden="1" thickTop="1" x14ac:dyDescent="0.2">
      <c r="A98" s="48" t="s">
        <v>20</v>
      </c>
      <c r="B98" s="41"/>
      <c r="C98" s="41"/>
      <c r="D98" s="41"/>
      <c r="E98" s="41"/>
      <c r="F98" s="41"/>
      <c r="G98" s="41"/>
      <c r="H98" s="41"/>
      <c r="I98" s="49">
        <v>48</v>
      </c>
      <c r="J98" s="49">
        <v>39</v>
      </c>
      <c r="K98" s="49">
        <v>50</v>
      </c>
      <c r="L98" s="50">
        <v>43</v>
      </c>
      <c r="M98" s="50">
        <f>9+25+28</f>
        <v>62</v>
      </c>
      <c r="N98" s="50">
        <f>13+20+4+4</f>
        <v>41</v>
      </c>
      <c r="O98" s="51">
        <v>53</v>
      </c>
      <c r="X98" s="180"/>
    </row>
    <row r="99" spans="1:31" ht="102.75" hidden="1" thickTop="1" x14ac:dyDescent="0.2">
      <c r="A99" s="48" t="s">
        <v>21</v>
      </c>
      <c r="B99" s="41"/>
      <c r="C99" s="41"/>
      <c r="D99" s="41"/>
      <c r="E99" s="41"/>
      <c r="F99" s="41"/>
      <c r="G99" s="41"/>
      <c r="H99" s="41"/>
      <c r="I99" s="49">
        <v>77</v>
      </c>
      <c r="J99" s="49">
        <v>81</v>
      </c>
      <c r="K99" s="49">
        <v>84</v>
      </c>
      <c r="L99" s="50">
        <v>88</v>
      </c>
      <c r="M99" s="50">
        <f>3+9+36+31</f>
        <v>79</v>
      </c>
      <c r="N99" s="50">
        <f>38+27+8+9</f>
        <v>82</v>
      </c>
      <c r="O99" s="51">
        <v>83</v>
      </c>
      <c r="X99" s="180"/>
    </row>
    <row r="100" spans="1:31" ht="257.25" hidden="1" thickTop="1" x14ac:dyDescent="0.2">
      <c r="A100" s="48" t="s">
        <v>27</v>
      </c>
      <c r="B100" s="41"/>
      <c r="C100" s="41"/>
      <c r="D100" s="41"/>
      <c r="E100" s="41"/>
      <c r="F100" s="41"/>
      <c r="G100" s="41"/>
      <c r="H100" s="41"/>
      <c r="I100" s="49">
        <v>49</v>
      </c>
      <c r="J100" s="49">
        <v>98</v>
      </c>
      <c r="K100" s="49">
        <v>111</v>
      </c>
      <c r="L100" s="50">
        <v>126</v>
      </c>
      <c r="M100" s="50">
        <f>13+8+48+44+6+5+2+5</f>
        <v>131</v>
      </c>
      <c r="N100" s="50">
        <f>15+11+4+6+38+29+7+3</f>
        <v>113</v>
      </c>
      <c r="O100" s="51">
        <v>122</v>
      </c>
      <c r="X100" s="180"/>
    </row>
    <row r="101" spans="1:31" ht="65.25" hidden="1" thickTop="1" thickBot="1" x14ac:dyDescent="0.25">
      <c r="A101" s="52" t="s">
        <v>22</v>
      </c>
      <c r="B101" s="53"/>
      <c r="C101" s="53"/>
      <c r="D101" s="53"/>
      <c r="E101" s="53"/>
      <c r="F101" s="53"/>
      <c r="G101" s="53"/>
      <c r="H101" s="53"/>
      <c r="I101" s="54">
        <v>2786</v>
      </c>
      <c r="J101" s="54">
        <v>2982</v>
      </c>
      <c r="K101" s="54">
        <v>3107</v>
      </c>
      <c r="L101" s="55">
        <v>3188</v>
      </c>
      <c r="M101" s="55">
        <f>1396+1404+138+200</f>
        <v>3138</v>
      </c>
      <c r="N101" s="55">
        <f>1438+1425+126+162</f>
        <v>3151</v>
      </c>
      <c r="O101" s="56">
        <v>3044</v>
      </c>
      <c r="X101" s="180"/>
    </row>
    <row r="102" spans="1:31" ht="13.5" thickTop="1" x14ac:dyDescent="0.2">
      <c r="A102" s="216"/>
      <c r="I102" s="217"/>
      <c r="J102" s="217"/>
      <c r="K102" s="217"/>
      <c r="L102" s="218"/>
      <c r="M102" s="218"/>
      <c r="N102" s="218"/>
      <c r="O102" s="218"/>
    </row>
    <row r="103" spans="1:31" ht="23.25" customHeight="1" x14ac:dyDescent="0.2">
      <c r="B103" s="166" t="s">
        <v>53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29"/>
      <c r="Y103" s="129"/>
      <c r="Z103" s="129"/>
      <c r="AA103" s="129"/>
      <c r="AB103" s="129"/>
      <c r="AC103" s="129"/>
      <c r="AD103" s="129"/>
      <c r="AE103" s="129"/>
    </row>
    <row r="104" spans="1:31" x14ac:dyDescent="0.2">
      <c r="S104" s="119"/>
      <c r="T104" s="119"/>
    </row>
    <row r="130" ht="16.5" customHeight="1" x14ac:dyDescent="0.2"/>
  </sheetData>
  <mergeCells count="1">
    <mergeCell ref="B88:O88"/>
  </mergeCells>
  <phoneticPr fontId="0" type="noConversion"/>
  <printOptions horizontalCentered="1"/>
  <pageMargins left="1.25" right="0.75" top="0.64" bottom="0.75" header="0.5" footer="0.5"/>
  <pageSetup scale="80" fitToHeight="3" orientation="portrait" r:id="rId1"/>
  <headerFooter alignWithMargins="0"/>
  <rowBreaks count="1" manualBreakCount="1">
    <brk id="66" max="31" man="1"/>
  </rowBreaks>
  <ignoredErrors>
    <ignoredError sqref="Q47:Y47 R26:Y26 R5:AA5 Z42:AA47 Z34:AA40 Z26:AA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enrollcoll</vt:lpstr>
      <vt:lpstr>ughcgraph</vt:lpstr>
      <vt:lpstr>Demo_data</vt:lpstr>
      <vt:lpstr>Demo_data!Print_Area</vt:lpstr>
      <vt:lpstr>ughcgraph!Print_Area</vt:lpstr>
      <vt:lpstr>Demo_data!Print_Titles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Yuhao Liu</cp:lastModifiedBy>
  <cp:lastPrinted>2021-01-05T19:38:22Z</cp:lastPrinted>
  <dcterms:created xsi:type="dcterms:W3CDTF">2004-05-20T15:37:32Z</dcterms:created>
  <dcterms:modified xsi:type="dcterms:W3CDTF">2024-10-07T16:13:24Z</dcterms:modified>
</cp:coreProperties>
</file>